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345" windowWidth="10335" windowHeight="4575" activeTab="1"/>
  </bookViews>
  <sheets>
    <sheet name="APU" sheetId="7" r:id="rId1"/>
    <sheet name="Campamento" sheetId="9" r:id="rId2"/>
    <sheet name="consolidado" sheetId="1" r:id="rId3"/>
    <sheet name="Resumen" sheetId="8" state="hidden" r:id="rId4"/>
    <sheet name="Taponamiento de Grietas" sheetId="5" r:id="rId5"/>
    <sheet name="Excavacion" sheetId="3" r:id="rId6"/>
    <sheet name="Conformacion de obras" sheetId="4" r:id="rId7"/>
    <sheet name="Revegetalizacion" sheetId="6" r:id="rId8"/>
    <sheet name="Cercado" sheetId="11" r:id="rId9"/>
    <sheet name="Hoja1" sheetId="10" r:id="rId10"/>
  </sheets>
  <definedNames>
    <definedName name="_xlnm.Print_Area" localSheetId="1">Campamento!$A$1:$L$67</definedName>
    <definedName name="_xlnm.Print_Area" localSheetId="2">consolidado!$A$1:$F$173</definedName>
  </definedNames>
  <calcPr calcId="125725"/>
</workbook>
</file>

<file path=xl/calcChain.xml><?xml version="1.0" encoding="utf-8"?>
<calcChain xmlns="http://schemas.openxmlformats.org/spreadsheetml/2006/main">
  <c r="D121" i="1"/>
  <c r="G57" i="9"/>
  <c r="D12" i="1"/>
  <c r="D13"/>
  <c r="J45" i="7"/>
  <c r="I45"/>
  <c r="J44"/>
  <c r="G16" i="6"/>
  <c r="G15"/>
  <c r="O4" i="4"/>
  <c r="O5"/>
  <c r="H82" i="1"/>
  <c r="C33" i="7"/>
  <c r="C32"/>
  <c r="C31"/>
  <c r="C30"/>
  <c r="C29"/>
  <c r="C28"/>
  <c r="C27"/>
  <c r="C26"/>
  <c r="J11"/>
  <c r="K6"/>
  <c r="K5"/>
  <c r="J7"/>
  <c r="J5"/>
  <c r="R14" i="4"/>
  <c r="R11"/>
  <c r="R10"/>
  <c r="R9"/>
  <c r="R8"/>
  <c r="F61"/>
  <c r="D48" i="3"/>
  <c r="E8" i="11"/>
  <c r="G8" s="1"/>
  <c r="C16" s="1"/>
  <c r="D9"/>
  <c r="E9" s="1"/>
  <c r="G9" s="1"/>
  <c r="D134" i="1"/>
  <c r="G51" i="9" s="1"/>
  <c r="C63" i="4"/>
  <c r="C66"/>
  <c r="C51"/>
  <c r="C38"/>
  <c r="C24"/>
  <c r="C11"/>
  <c r="C18"/>
  <c r="C31"/>
  <c r="C44"/>
  <c r="C59"/>
  <c r="O29" i="9"/>
  <c r="O12"/>
  <c r="O13"/>
  <c r="F17" i="4"/>
  <c r="D108" i="1"/>
  <c r="D112" s="1"/>
  <c r="F112" s="1"/>
  <c r="D35"/>
  <c r="D36"/>
  <c r="D143"/>
  <c r="C35" i="4"/>
  <c r="D165" i="1"/>
  <c r="F18" i="4"/>
  <c r="F4"/>
  <c r="F5"/>
  <c r="D151" i="1"/>
  <c r="F151" s="1"/>
  <c r="F152" s="1"/>
  <c r="D148"/>
  <c r="D147" s="1"/>
  <c r="G56" i="9" s="1"/>
  <c r="J56" s="1"/>
  <c r="D164" i="1"/>
  <c r="B43" i="7"/>
  <c r="G53" i="9"/>
  <c r="D163" i="1"/>
  <c r="E145"/>
  <c r="E11" i="11"/>
  <c r="G11" s="1"/>
  <c r="E10"/>
  <c r="G10" s="1"/>
  <c r="D4"/>
  <c r="E4"/>
  <c r="G4" s="1"/>
  <c r="C29" i="3"/>
  <c r="E29"/>
  <c r="D32"/>
  <c r="B78" i="1"/>
  <c r="F32" i="4"/>
  <c r="D25" i="1"/>
  <c r="B66" i="7"/>
  <c r="B64"/>
  <c r="B63"/>
  <c r="B62"/>
  <c r="B67"/>
  <c r="C17"/>
  <c r="B61"/>
  <c r="B60"/>
  <c r="B59"/>
  <c r="B47"/>
  <c r="B49"/>
  <c r="B42"/>
  <c r="B44"/>
  <c r="B50"/>
  <c r="B52"/>
  <c r="B45"/>
  <c r="B46"/>
  <c r="E80" i="1"/>
  <c r="F80" s="1"/>
  <c r="E151"/>
  <c r="E165"/>
  <c r="F30" i="4"/>
  <c r="F31"/>
  <c r="E37" i="3"/>
  <c r="D40"/>
  <c r="D43" i="4"/>
  <c r="E43"/>
  <c r="G43" s="1"/>
  <c r="E45"/>
  <c r="G45"/>
  <c r="F45"/>
  <c r="J45"/>
  <c r="E46"/>
  <c r="G46"/>
  <c r="E49"/>
  <c r="G49" s="1"/>
  <c r="E50"/>
  <c r="G50"/>
  <c r="D17"/>
  <c r="E17" s="1"/>
  <c r="J19"/>
  <c r="E20"/>
  <c r="G20"/>
  <c r="E22"/>
  <c r="G22" s="1"/>
  <c r="E23"/>
  <c r="G23"/>
  <c r="E137" i="1"/>
  <c r="E136"/>
  <c r="E7" i="6"/>
  <c r="G7"/>
  <c r="E6"/>
  <c r="G6" s="1"/>
  <c r="E158" i="1"/>
  <c r="I13" i="8"/>
  <c r="D49" i="1"/>
  <c r="D30" i="4"/>
  <c r="E30"/>
  <c r="G30"/>
  <c r="E160" i="1"/>
  <c r="J32" i="4"/>
  <c r="J6"/>
  <c r="D92" i="1"/>
  <c r="D96" s="1"/>
  <c r="D89"/>
  <c r="G45" i="9"/>
  <c r="D139" i="1"/>
  <c r="G52" i="9" s="1"/>
  <c r="J63" i="4"/>
  <c r="J67"/>
  <c r="J12"/>
  <c r="E123" i="1"/>
  <c r="E121"/>
  <c r="E120"/>
  <c r="E119"/>
  <c r="F119" s="1"/>
  <c r="E106"/>
  <c r="E104"/>
  <c r="E103"/>
  <c r="E102"/>
  <c r="F102" s="1"/>
  <c r="D9"/>
  <c r="E37" i="4"/>
  <c r="G37"/>
  <c r="E33"/>
  <c r="G33" s="1"/>
  <c r="E32"/>
  <c r="G32"/>
  <c r="E4" i="3"/>
  <c r="D7"/>
  <c r="E21"/>
  <c r="D24"/>
  <c r="D58" i="4"/>
  <c r="E58" s="1"/>
  <c r="G58" s="1"/>
  <c r="E132" i="1"/>
  <c r="E130"/>
  <c r="E129"/>
  <c r="E128"/>
  <c r="E114"/>
  <c r="F114" s="1"/>
  <c r="E112"/>
  <c r="E111"/>
  <c r="E110"/>
  <c r="E98"/>
  <c r="E96"/>
  <c r="E95"/>
  <c r="E94"/>
  <c r="F94"/>
  <c r="E157"/>
  <c r="E162"/>
  <c r="E161"/>
  <c r="E65" i="4"/>
  <c r="G65" s="1"/>
  <c r="E9"/>
  <c r="G9"/>
  <c r="E62"/>
  <c r="G62" s="1"/>
  <c r="E61"/>
  <c r="G61"/>
  <c r="E7"/>
  <c r="G7" s="1"/>
  <c r="D4"/>
  <c r="E4"/>
  <c r="G4"/>
  <c r="J3" s="1"/>
  <c r="E122" i="1"/>
  <c r="J60" i="4"/>
  <c r="D65" i="1"/>
  <c r="D57"/>
  <c r="E13" i="3"/>
  <c r="D16"/>
  <c r="E45"/>
  <c r="E10" i="4"/>
  <c r="G10" s="1"/>
  <c r="E97" i="1"/>
  <c r="E131"/>
  <c r="D61"/>
  <c r="D53"/>
  <c r="E36" i="4"/>
  <c r="G36"/>
  <c r="E105" i="1"/>
  <c r="F105" s="1"/>
  <c r="E159"/>
  <c r="E64" i="4"/>
  <c r="G64"/>
  <c r="E113" i="1"/>
  <c r="G9" i="8"/>
  <c r="D126" i="1"/>
  <c r="D131"/>
  <c r="F131" s="1"/>
  <c r="I9" i="8"/>
  <c r="J44" i="4"/>
  <c r="F43"/>
  <c r="F44"/>
  <c r="D17" i="1"/>
  <c r="D21"/>
  <c r="D117"/>
  <c r="D122"/>
  <c r="F122" s="1"/>
  <c r="J59" i="4"/>
  <c r="F58"/>
  <c r="F59"/>
  <c r="J31"/>
  <c r="D14" i="6"/>
  <c r="E14" s="1"/>
  <c r="G14" s="1"/>
  <c r="D13"/>
  <c r="E13" s="1"/>
  <c r="G13" s="1"/>
  <c r="J13" i="8"/>
  <c r="D100" i="1"/>
  <c r="D104"/>
  <c r="F104" s="1"/>
  <c r="D130"/>
  <c r="F130" s="1"/>
  <c r="D5" i="6"/>
  <c r="E5" s="1"/>
  <c r="G5" s="1"/>
  <c r="D4"/>
  <c r="E4"/>
  <c r="G4" s="1"/>
  <c r="G8" s="1"/>
  <c r="E28" i="1" s="1"/>
  <c r="C16" i="7"/>
  <c r="D5" i="11"/>
  <c r="E5"/>
  <c r="G5" s="1"/>
  <c r="D6"/>
  <c r="I12" i="8"/>
  <c r="E148" i="1"/>
  <c r="E164" s="1"/>
  <c r="F164" s="1"/>
  <c r="E79"/>
  <c r="F79"/>
  <c r="B69" i="7"/>
  <c r="D129" i="1"/>
  <c r="F129" s="1"/>
  <c r="G8" i="8"/>
  <c r="F165" i="1"/>
  <c r="G50" i="9"/>
  <c r="G3" i="8"/>
  <c r="D128" i="1"/>
  <c r="D132"/>
  <c r="F132" s="1"/>
  <c r="G5" i="8"/>
  <c r="G7"/>
  <c r="D120" i="1"/>
  <c r="D123" s="1"/>
  <c r="F123" s="1"/>
  <c r="D111"/>
  <c r="F111"/>
  <c r="G48" i="9"/>
  <c r="I57"/>
  <c r="J57" s="1"/>
  <c r="D119" i="1"/>
  <c r="G49" i="9"/>
  <c r="F121" i="1"/>
  <c r="D136"/>
  <c r="G6" i="8"/>
  <c r="J9"/>
  <c r="D110" i="1"/>
  <c r="G46" i="9"/>
  <c r="D103" i="1"/>
  <c r="D106"/>
  <c r="F106" s="1"/>
  <c r="D105"/>
  <c r="G47" i="9"/>
  <c r="I56"/>
  <c r="J12" i="8"/>
  <c r="D7" i="11"/>
  <c r="E7" s="1"/>
  <c r="G7" s="1"/>
  <c r="E6"/>
  <c r="G6" s="1"/>
  <c r="D63" i="4"/>
  <c r="E63" s="1"/>
  <c r="G63" s="1"/>
  <c r="D8"/>
  <c r="E8"/>
  <c r="G8" s="1"/>
  <c r="D39"/>
  <c r="E39"/>
  <c r="G39"/>
  <c r="D66"/>
  <c r="E66" s="1"/>
  <c r="G66" s="1"/>
  <c r="D67"/>
  <c r="E67" s="1"/>
  <c r="G67" s="1"/>
  <c r="D60"/>
  <c r="E60"/>
  <c r="G60" s="1"/>
  <c r="E101" i="1"/>
  <c r="D6" i="4"/>
  <c r="E6"/>
  <c r="G6" s="1"/>
  <c r="D19"/>
  <c r="E19" s="1"/>
  <c r="G19" s="1"/>
  <c r="D38"/>
  <c r="E38" s="1"/>
  <c r="G38" s="1"/>
  <c r="D34"/>
  <c r="E34" s="1"/>
  <c r="G34" s="1"/>
  <c r="D11"/>
  <c r="E11"/>
  <c r="G11" s="1"/>
  <c r="D21"/>
  <c r="E21"/>
  <c r="G21"/>
  <c r="E127" i="1"/>
  <c r="D52" i="4"/>
  <c r="E52"/>
  <c r="G52"/>
  <c r="C40" i="3"/>
  <c r="E40" s="1"/>
  <c r="D44" i="4"/>
  <c r="E44"/>
  <c r="G44" s="1"/>
  <c r="E93" i="1"/>
  <c r="D48" i="4"/>
  <c r="E48"/>
  <c r="G48" s="1"/>
  <c r="D18"/>
  <c r="E18" s="1"/>
  <c r="G18" s="1"/>
  <c r="J17" s="1"/>
  <c r="K17" s="1"/>
  <c r="C48" i="3"/>
  <c r="E48" s="1"/>
  <c r="E156" i="1"/>
  <c r="D51" i="4"/>
  <c r="E51" s="1"/>
  <c r="G51" s="1"/>
  <c r="D59"/>
  <c r="E59"/>
  <c r="G59" s="1"/>
  <c r="D35"/>
  <c r="E35" s="1"/>
  <c r="G35" s="1"/>
  <c r="D47"/>
  <c r="E47" s="1"/>
  <c r="G47" s="1"/>
  <c r="E90" i="1"/>
  <c r="E118"/>
  <c r="E140"/>
  <c r="C32" i="3"/>
  <c r="E32"/>
  <c r="E16" i="1" s="1"/>
  <c r="D4" i="5"/>
  <c r="E4" s="1"/>
  <c r="G4" s="1"/>
  <c r="D5" i="4"/>
  <c r="E5" s="1"/>
  <c r="G5" s="1"/>
  <c r="C16" i="3"/>
  <c r="E16"/>
  <c r="E8" i="1" s="1"/>
  <c r="D12" i="4"/>
  <c r="E12" s="1"/>
  <c r="G12" s="1"/>
  <c r="C24" i="3"/>
  <c r="E24" s="1"/>
  <c r="D25" i="4"/>
  <c r="E25" s="1"/>
  <c r="G25" s="1"/>
  <c r="E135" i="1"/>
  <c r="C7" i="3"/>
  <c r="E7" s="1"/>
  <c r="E31" i="1" s="1"/>
  <c r="D24" i="4"/>
  <c r="E24" s="1"/>
  <c r="G24" s="1"/>
  <c r="D31"/>
  <c r="E31"/>
  <c r="G31" s="1"/>
  <c r="E144" i="1"/>
  <c r="E109"/>
  <c r="F128"/>
  <c r="F110"/>
  <c r="D161"/>
  <c r="D114"/>
  <c r="F136"/>
  <c r="D158"/>
  <c r="F158" s="1"/>
  <c r="F103"/>
  <c r="D12" i="11"/>
  <c r="E12" s="1"/>
  <c r="G12" s="1"/>
  <c r="F161" i="1"/>
  <c r="E71" l="1"/>
  <c r="F31"/>
  <c r="F32" s="1"/>
  <c r="I52" i="9"/>
  <c r="J52" s="1"/>
  <c r="C17" i="11"/>
  <c r="D17" s="1"/>
  <c r="E35" i="1" s="1"/>
  <c r="F35" s="1"/>
  <c r="D144" s="1"/>
  <c r="F144" s="1"/>
  <c r="G53" i="4"/>
  <c r="E21" i="1" s="1"/>
  <c r="J58" i="4"/>
  <c r="K58" s="1"/>
  <c r="G17" i="6"/>
  <c r="G152" i="1"/>
  <c r="G40" i="4"/>
  <c r="E17" i="1" s="1"/>
  <c r="E18" s="1"/>
  <c r="I48" i="9" s="1"/>
  <c r="J48" s="1"/>
  <c r="J29" i="4"/>
  <c r="J30"/>
  <c r="K30" s="1"/>
  <c r="F8" i="1"/>
  <c r="E48"/>
  <c r="E56"/>
  <c r="F16"/>
  <c r="J42" i="4"/>
  <c r="J43"/>
  <c r="K43" s="1"/>
  <c r="G68"/>
  <c r="E25" i="1" s="1"/>
  <c r="J57" i="4"/>
  <c r="C18" i="11"/>
  <c r="D18" s="1"/>
  <c r="E36" i="1" s="1"/>
  <c r="F36" s="1"/>
  <c r="D145" s="1"/>
  <c r="F145" s="1"/>
  <c r="G13" i="11"/>
  <c r="C19"/>
  <c r="D20" s="1"/>
  <c r="D16"/>
  <c r="G5" i="5"/>
  <c r="E5" i="1"/>
  <c r="E24"/>
  <c r="F28"/>
  <c r="F29" s="1"/>
  <c r="E68"/>
  <c r="I51" i="9"/>
  <c r="J51" s="1"/>
  <c r="D101" i="1"/>
  <c r="F101" s="1"/>
  <c r="F107" s="1"/>
  <c r="E12"/>
  <c r="J4" i="4"/>
  <c r="K4" s="1"/>
  <c r="G13"/>
  <c r="E9" i="1" s="1"/>
  <c r="E20"/>
  <c r="D118"/>
  <c r="F118" s="1"/>
  <c r="G17" i="4"/>
  <c r="R12"/>
  <c r="R15" s="1"/>
  <c r="F96" i="1"/>
  <c r="D157"/>
  <c r="F157" s="1"/>
  <c r="J58" i="9"/>
  <c r="D109" i="1"/>
  <c r="F109" s="1"/>
  <c r="F115" s="1"/>
  <c r="D140"/>
  <c r="F140" s="1"/>
  <c r="F141" s="1"/>
  <c r="F148"/>
  <c r="F149" s="1"/>
  <c r="G149" s="1"/>
  <c r="G4" i="8"/>
  <c r="F120" i="1"/>
  <c r="G11" i="8"/>
  <c r="D97" i="1"/>
  <c r="D93"/>
  <c r="F93" s="1"/>
  <c r="D135"/>
  <c r="F135" s="1"/>
  <c r="D95"/>
  <c r="D113"/>
  <c r="F113" s="1"/>
  <c r="D137"/>
  <c r="F137" s="1"/>
  <c r="D150"/>
  <c r="G10" i="8"/>
  <c r="E65" i="1" l="1"/>
  <c r="F65" s="1"/>
  <c r="F25"/>
  <c r="F95"/>
  <c r="D98"/>
  <c r="D162"/>
  <c r="E52"/>
  <c r="E14"/>
  <c r="I47" i="9" s="1"/>
  <c r="J47" s="1"/>
  <c r="F12" i="1"/>
  <c r="E50"/>
  <c r="F48"/>
  <c r="I4" i="8"/>
  <c r="J4" s="1"/>
  <c r="F71" i="1"/>
  <c r="F72" s="1"/>
  <c r="E72"/>
  <c r="I11" i="8"/>
  <c r="F97" i="1"/>
  <c r="D159"/>
  <c r="F159" s="1"/>
  <c r="J16" i="4"/>
  <c r="G26"/>
  <c r="E13" i="1" s="1"/>
  <c r="I10" i="8"/>
  <c r="J10" s="1"/>
  <c r="F68" i="1"/>
  <c r="F69" s="1"/>
  <c r="E69"/>
  <c r="I45" i="9"/>
  <c r="J45" s="1"/>
  <c r="E6" i="1"/>
  <c r="E45"/>
  <c r="D90"/>
  <c r="F5"/>
  <c r="F6" s="1"/>
  <c r="E61"/>
  <c r="F61" s="1"/>
  <c r="F21"/>
  <c r="J11" i="8"/>
  <c r="F124" i="1"/>
  <c r="G69"/>
  <c r="E49"/>
  <c r="F49" s="1"/>
  <c r="F9"/>
  <c r="F10" s="1"/>
  <c r="E26"/>
  <c r="I50" i="9" s="1"/>
  <c r="J50" s="1"/>
  <c r="E64" i="1"/>
  <c r="F24"/>
  <c r="F26" s="1"/>
  <c r="F56"/>
  <c r="F58" s="1"/>
  <c r="F20"/>
  <c r="E22"/>
  <c r="I49" i="9" s="1"/>
  <c r="J49" s="1"/>
  <c r="E60" i="1"/>
  <c r="E163"/>
  <c r="F163" s="1"/>
  <c r="E34"/>
  <c r="D19" i="11"/>
  <c r="E57" i="1"/>
  <c r="F57" s="1"/>
  <c r="F17"/>
  <c r="F18" s="1"/>
  <c r="G58" s="1"/>
  <c r="G115" s="1"/>
  <c r="F138"/>
  <c r="D127"/>
  <c r="F127" s="1"/>
  <c r="F133" s="1"/>
  <c r="E10"/>
  <c r="I46" i="9" s="1"/>
  <c r="J46" s="1"/>
  <c r="F99" i="1" l="1"/>
  <c r="F153" s="1"/>
  <c r="H153" s="1"/>
  <c r="G50"/>
  <c r="G138"/>
  <c r="I8" i="8"/>
  <c r="J8" s="1"/>
  <c r="F64" i="1"/>
  <c r="F66" s="1"/>
  <c r="E66"/>
  <c r="F90"/>
  <c r="F91" s="1"/>
  <c r="D156"/>
  <c r="F162"/>
  <c r="H163"/>
  <c r="F34"/>
  <c r="F37" s="1"/>
  <c r="I53" i="9"/>
  <c r="J53" s="1"/>
  <c r="J54" s="1"/>
  <c r="J59" s="1"/>
  <c r="E143" i="1"/>
  <c r="F143" s="1"/>
  <c r="F146" s="1"/>
  <c r="E53"/>
  <c r="F53" s="1"/>
  <c r="F13"/>
  <c r="F52"/>
  <c r="I5" i="8"/>
  <c r="J5" s="1"/>
  <c r="I6"/>
  <c r="J6" s="1"/>
  <c r="F22" i="1"/>
  <c r="G66"/>
  <c r="G133" s="1"/>
  <c r="F50"/>
  <c r="F60"/>
  <c r="F62" s="1"/>
  <c r="I7" i="8"/>
  <c r="J7" s="1"/>
  <c r="E62" i="1"/>
  <c r="I3" i="8"/>
  <c r="J3" s="1"/>
  <c r="F45" i="1"/>
  <c r="F46" s="1"/>
  <c r="G46" s="1"/>
  <c r="G91" s="1"/>
  <c r="E46"/>
  <c r="G72"/>
  <c r="G141" s="1"/>
  <c r="D160"/>
  <c r="F160" s="1"/>
  <c r="F98"/>
  <c r="E58"/>
  <c r="F14"/>
  <c r="H162" l="1"/>
  <c r="H164" s="1"/>
  <c r="H156"/>
  <c r="H157" s="1"/>
  <c r="H158" s="1"/>
  <c r="F156"/>
  <c r="G62"/>
  <c r="G124" s="1"/>
  <c r="G99"/>
  <c r="H99" s="1"/>
  <c r="E54"/>
  <c r="J14" i="8"/>
  <c r="F54" i="1"/>
  <c r="G54" s="1"/>
  <c r="G107" s="1"/>
  <c r="H102" s="1"/>
  <c r="F38"/>
  <c r="E78" s="1"/>
  <c r="F78" s="1"/>
  <c r="G78" l="1"/>
  <c r="F82"/>
  <c r="F167"/>
  <c r="G156"/>
  <c r="F73"/>
  <c r="C20" i="7" l="1"/>
  <c r="G161" i="1"/>
  <c r="G158"/>
  <c r="G165"/>
  <c r="G164"/>
  <c r="G157"/>
  <c r="G163"/>
  <c r="G159"/>
  <c r="G160"/>
  <c r="G162"/>
  <c r="G167"/>
</calcChain>
</file>

<file path=xl/sharedStrings.xml><?xml version="1.0" encoding="utf-8"?>
<sst xmlns="http://schemas.openxmlformats.org/spreadsheetml/2006/main" count="817" uniqueCount="321">
  <si>
    <t>CATEGORÍA DE INVERSIÓN</t>
  </si>
  <si>
    <t>UNIDAD</t>
  </si>
  <si>
    <t xml:space="preserve">CANTIDAD </t>
  </si>
  <si>
    <t>VALOR UNITARIO</t>
  </si>
  <si>
    <t>SUBTOTAL</t>
  </si>
  <si>
    <t>Unidad</t>
  </si>
  <si>
    <t>Medidas</t>
  </si>
  <si>
    <t>Metro</t>
  </si>
  <si>
    <t>Ancho</t>
  </si>
  <si>
    <t>Volumen excavado</t>
  </si>
  <si>
    <t>Profundidad</t>
  </si>
  <si>
    <t>M3</t>
  </si>
  <si>
    <t>Rendimiento</t>
  </si>
  <si>
    <t>Jornal Dia</t>
  </si>
  <si>
    <t>Valor Jornal</t>
  </si>
  <si>
    <t>Valor Metro lineal</t>
  </si>
  <si>
    <t>Rendimiento dia Metros</t>
  </si>
  <si>
    <t>Costo metro lineal de zanja para terraza</t>
  </si>
  <si>
    <t>Transporte Mayor, (Camion de 6 Toneladas)</t>
  </si>
  <si>
    <t>Valor Flete, o Jornal</t>
  </si>
  <si>
    <t>Transporte Menor, (Mano de obra)</t>
  </si>
  <si>
    <t>Colocacion y armado del filtro (Mano de Obra)</t>
  </si>
  <si>
    <t>Tapado con tierra y conformacion (Mano de Obra)</t>
  </si>
  <si>
    <t>Valor metro de filtro</t>
  </si>
  <si>
    <t>Costo metro lineal construccion de terraza</t>
  </si>
  <si>
    <t>Relleno y pisado (Mano de Obra)</t>
  </si>
  <si>
    <t>Valor metro de Terraza</t>
  </si>
  <si>
    <t xml:space="preserve">Valor Metro </t>
  </si>
  <si>
    <t>Valor Unidad</t>
  </si>
  <si>
    <t>Cantidad por metro</t>
  </si>
  <si>
    <t>Colocacion y armado de la terraza (Mano de Obra)</t>
  </si>
  <si>
    <t>Colocacion y armado del trincho (Mano de Obra)</t>
  </si>
  <si>
    <t xml:space="preserve">VALOR TOTAL </t>
  </si>
  <si>
    <t>Excavacion de zanjas para filtros</t>
  </si>
  <si>
    <t>Construccion del filtro</t>
  </si>
  <si>
    <t>Excavacion de zanjas para Trinchos</t>
  </si>
  <si>
    <t>Construccion del Trincho</t>
  </si>
  <si>
    <t>CONSTRUCCION DE TERRAZAS</t>
  </si>
  <si>
    <t>Excavacion de zanjas para Terrazas</t>
  </si>
  <si>
    <t>Construccion de la Terraza</t>
  </si>
  <si>
    <t>SUBTOTAL OBRAS</t>
  </si>
  <si>
    <t>CONSTRUCCION DE LAS OBRAS</t>
  </si>
  <si>
    <t>Taponamiento de grietas</t>
  </si>
  <si>
    <t>Metro l</t>
  </si>
  <si>
    <t>REVEGETALIZACION</t>
  </si>
  <si>
    <t>Metro 2</t>
  </si>
  <si>
    <t>Revegetalizacion Valor Metro 2</t>
  </si>
  <si>
    <t>Kilo</t>
  </si>
  <si>
    <t>Repique y siembra (Mano de Obra)</t>
  </si>
  <si>
    <t>Valor Unitario</t>
  </si>
  <si>
    <t>Valor Flete, Insumo  o Jornal</t>
  </si>
  <si>
    <t>Valor metro Revegetalizado</t>
  </si>
  <si>
    <t>Valor metro de Trincho</t>
  </si>
  <si>
    <t xml:space="preserve">Metro </t>
  </si>
  <si>
    <t>Transporte Menor, Estacon (Mano de obra)</t>
  </si>
  <si>
    <t>Valor Flete,  Jornal o insumo</t>
  </si>
  <si>
    <t xml:space="preserve">TAPONAMIENTO DE GRIETAS </t>
  </si>
  <si>
    <t xml:space="preserve">Taponamiento de grietas </t>
  </si>
  <si>
    <t>Material por metro</t>
  </si>
  <si>
    <t>Valor Metro 2</t>
  </si>
  <si>
    <t>Valor metro de Grieta</t>
  </si>
  <si>
    <t>Relleno con tierra  y pisado (Mano de Obra)</t>
  </si>
  <si>
    <t>Siembra estacones (Mano de Obra)</t>
  </si>
  <si>
    <t>Suministro de cespedones , siembra y fertilizacion</t>
  </si>
  <si>
    <t>Unidades por metro de zanja</t>
  </si>
  <si>
    <t>Sellado con pison</t>
  </si>
  <si>
    <t>Jornal</t>
  </si>
  <si>
    <t>Total</t>
  </si>
  <si>
    <t>Global</t>
  </si>
  <si>
    <t>Mano de Obra</t>
  </si>
  <si>
    <t>Transporte Camion</t>
  </si>
  <si>
    <t>Estacones</t>
  </si>
  <si>
    <t>INSUMOS FILTROS</t>
  </si>
  <si>
    <t>INSUMOS TRINCHOS</t>
  </si>
  <si>
    <t>INSUMOS TERRAZAS</t>
  </si>
  <si>
    <t>CUADRO DISCRIMINADO DE COSTOS Y ACTIVIDADES</t>
  </si>
  <si>
    <t>Mano de obra</t>
  </si>
  <si>
    <t>Viaje</t>
  </si>
  <si>
    <t>Sitios</t>
  </si>
  <si>
    <t>DETALLE</t>
  </si>
  <si>
    <t>CANTIDAD</t>
  </si>
  <si>
    <t>VALOR UNT</t>
  </si>
  <si>
    <t>TOTAL</t>
  </si>
  <si>
    <t>%</t>
  </si>
  <si>
    <t>Costo metro lineal de zanja para Trincho Disipador Simple</t>
  </si>
  <si>
    <t>Suministro Gallinaza</t>
  </si>
  <si>
    <t xml:space="preserve"> </t>
  </si>
  <si>
    <t>Gallinaza</t>
  </si>
  <si>
    <t>METRO</t>
  </si>
  <si>
    <t>GALLINAZA</t>
  </si>
  <si>
    <t>KILO</t>
  </si>
  <si>
    <t>DESCRIPCION</t>
  </si>
  <si>
    <t>MATERIALES E INSUMOS</t>
  </si>
  <si>
    <t>MANO DE OBRA Y TRANSPORTE</t>
  </si>
  <si>
    <t>VIAJE</t>
  </si>
  <si>
    <t xml:space="preserve">MANO DE OBRA </t>
  </si>
  <si>
    <t>JORNAL</t>
  </si>
  <si>
    <t>ESTACON</t>
  </si>
  <si>
    <t>Transporte Mayor, Guadua (Camion de 6 Toneladas)</t>
  </si>
  <si>
    <t>Costo metro lineal de zanja para filtro tipo 1</t>
  </si>
  <si>
    <t>Costo metro lineal de zanja para filtro tipo 2</t>
  </si>
  <si>
    <t>Costo metro lineal construccion de Trincho Disipador simple</t>
  </si>
  <si>
    <t>Costo metro lineal construccion de filtros Tipo 1</t>
  </si>
  <si>
    <t>Costo metro lineal construccion de filtros Tipo 2</t>
  </si>
  <si>
    <t>INSUMOS FILTROS tipo 2</t>
  </si>
  <si>
    <t>Costo metro lineal de zanja de drenaje</t>
  </si>
  <si>
    <t>CONSTRUCCION ZANJAS DE DRENAJE</t>
  </si>
  <si>
    <t>Excavacion Zanjas</t>
  </si>
  <si>
    <t>INSUMOS TRINCHOS SIMPLES</t>
  </si>
  <si>
    <t xml:space="preserve">Costo metro lineal de zanja para Trincho Disipador </t>
  </si>
  <si>
    <t>Costo metro lineal construccion de Trincho Disipador</t>
  </si>
  <si>
    <t>CONSTRUCCION DE FILTROS TIPO 1</t>
  </si>
  <si>
    <t>CONSTRUCCION DE FILTROS TIPO 2</t>
  </si>
  <si>
    <t>CONSTRUCCION DE TRINCHOS DISIPADORES</t>
  </si>
  <si>
    <t>CONSTRUCCION DE TRINCHOS DISIPADORES SIMPLES</t>
  </si>
  <si>
    <t>COSTOS SITIO</t>
  </si>
  <si>
    <t>CONSTRUCCION DE TRINCHOS DISIP. SIMPLES</t>
  </si>
  <si>
    <t>Vr UNITARIO</t>
  </si>
  <si>
    <t>Vr TOTAL</t>
  </si>
  <si>
    <t>TAPONAMIENTO DE GRIETAS</t>
  </si>
  <si>
    <t>metro</t>
  </si>
  <si>
    <t>CONSTRUCCION FILTROS VIVOS TIPO 1</t>
  </si>
  <si>
    <t>CONSTRUCCION FILTROS VIVOS TIPO 2</t>
  </si>
  <si>
    <t xml:space="preserve">CONSTRUCCION TRINCHOS DISIPADORES </t>
  </si>
  <si>
    <t>CONSTRUCCION TRINCHOS DISIPADORES SIMPLES</t>
  </si>
  <si>
    <t>CONSTRUCCION TERRAZAS</t>
  </si>
  <si>
    <t>COSTRUCCION PANTALLAS</t>
  </si>
  <si>
    <t>metro 2</t>
  </si>
  <si>
    <t>CONSTRUCCION DE ZANJAS DE DRENAJE</t>
  </si>
  <si>
    <t>Nota: Los costos son aproximados y se calculan teniendo en cuenta los valores unitarios de jornales e insumos locales, no incluyendo los costos administrativos en los que se incurriria si la labor se contrata con un tercero. ( Se anexa cuadro con detalle de las implementaciones)</t>
  </si>
  <si>
    <t>CAPATAZ OBRA</t>
  </si>
  <si>
    <t>MES</t>
  </si>
  <si>
    <t>CAPATAZ</t>
  </si>
  <si>
    <t>Mes</t>
  </si>
  <si>
    <t>* se parte de 2,5 metros cubicos de excavacion por jornal</t>
  </si>
  <si>
    <t>CAMION</t>
  </si>
  <si>
    <t>CORPORACIÓN AUTÓNOMA REGIONAL DE CUNDINAMARCA</t>
  </si>
  <si>
    <t>PROYECTO DE CONSERVACION DE AGUA Y SUELO - PROCAS - CHECUA</t>
  </si>
  <si>
    <t>Oficina provincial:</t>
  </si>
  <si>
    <t>Municipio:</t>
  </si>
  <si>
    <t>Vereda</t>
  </si>
  <si>
    <t xml:space="preserve">Área: </t>
  </si>
  <si>
    <t>Cuenca hidrográfica:</t>
  </si>
  <si>
    <t>Contacto:</t>
  </si>
  <si>
    <t>Tel Contacto:</t>
  </si>
  <si>
    <t xml:space="preserve">Coordenadas:    </t>
  </si>
  <si>
    <t xml:space="preserve">X: </t>
  </si>
  <si>
    <t>Y:</t>
  </si>
  <si>
    <t>Cargo:</t>
  </si>
  <si>
    <t>Altitud:</t>
  </si>
  <si>
    <t>m.s.n.m</t>
  </si>
  <si>
    <t>DESCRIPCION DE LAS IMPLEMENTACIONES</t>
  </si>
  <si>
    <r>
      <rPr>
        <b/>
        <sz val="10"/>
        <rFont val="Arial"/>
        <family val="2"/>
      </rPr>
      <t>Taponamiento de Grietas:</t>
    </r>
    <r>
      <rPr>
        <sz val="10"/>
        <rFont val="Arial"/>
        <family val="2"/>
      </rPr>
      <t xml:space="preserve"> Para lo que se procederá a rellenar las grietas que permiten la infiltración de las aguas de escorrentía con material presente en la zona donde se presento el deslizamiento, de preferencia arcilla, luego de lo cual se compactara con un pisón.</t>
    </r>
  </si>
  <si>
    <t>ANALISIS DE COSTOS PROBABLES DE LAS IMPLEMENTACIONES</t>
  </si>
  <si>
    <t>Realizo:</t>
  </si>
  <si>
    <t>RESIDENTE</t>
  </si>
  <si>
    <t>FOTOGRAFIA DEL DESLIZAMIENTO</t>
  </si>
  <si>
    <t>JHON ALEXIS SERRATO SUAREZ</t>
  </si>
  <si>
    <t>Cespedon</t>
  </si>
  <si>
    <t>Propietario:</t>
  </si>
  <si>
    <t>Cedula</t>
  </si>
  <si>
    <t>Nombre Predio:</t>
  </si>
  <si>
    <t>Tel Propietario:</t>
  </si>
  <si>
    <t>GUADUA</t>
  </si>
  <si>
    <t>Valor Metro Lineal</t>
  </si>
  <si>
    <t>Transporte Menor Guadua, (Mano de obra)</t>
  </si>
  <si>
    <t>Metro Guadua</t>
  </si>
  <si>
    <t>Suministro de Guadua</t>
  </si>
  <si>
    <t>Suministro de Guadua Parales</t>
  </si>
  <si>
    <t>Guadua</t>
  </si>
  <si>
    <t>Suministro Guadua armado</t>
  </si>
  <si>
    <t>Suministro estacones Nacedero  (0,50 mts)</t>
  </si>
  <si>
    <t>Postes Guadua</t>
  </si>
  <si>
    <t>Transporte Mayor, (Camion de 5 Toneladas)</t>
  </si>
  <si>
    <t>Guadua Parales</t>
  </si>
  <si>
    <t>Guadua Armado</t>
  </si>
  <si>
    <t>Suministro estacones  (0,50 mts)</t>
  </si>
  <si>
    <t>CANT</t>
  </si>
  <si>
    <t>Vr Unit</t>
  </si>
  <si>
    <t>Conservación de Suelos y Agua</t>
  </si>
  <si>
    <t>AUXILIO TRANSPORTE</t>
  </si>
  <si>
    <t>SALUD</t>
  </si>
  <si>
    <t>PENSION</t>
  </si>
  <si>
    <t>CESANTIAS</t>
  </si>
  <si>
    <t>VACACIONES</t>
  </si>
  <si>
    <t>PRIMAS</t>
  </si>
  <si>
    <t>ARL</t>
  </si>
  <si>
    <t>PORCENTAJE</t>
  </si>
  <si>
    <t>DOTACION</t>
  </si>
  <si>
    <t>N° DIAS LABORADOS  PROMEDIO MES</t>
  </si>
  <si>
    <t>VALOR DIA LABORADO</t>
  </si>
  <si>
    <t>GEOTEXTIL FIQUE</t>
  </si>
  <si>
    <t>CALCULO LABOR DIA OBRERO</t>
  </si>
  <si>
    <t>CAJA COMPENSACION</t>
  </si>
  <si>
    <t>CALCULO CAPATAZ</t>
  </si>
  <si>
    <t xml:space="preserve">Es importante destacar otros aspectos de este tipo de obras:                                                                                                                  La restauración ecológica y los controles bioingenieriles son herramientas para un manejo integral de carácter preventivo y correctivo de los procesos erosivos severos y los movimientos masales. La bioingeniería se basa en la construcción de estructuras vivas que emplean diferentes partes de las plantas, principalmente las raíces y los tallos. (Rivera H. 2006).
El carácter singular de la bioingeniería se debe a que las partes de las plantas (raíces y tallos) sirven como elementos de la estructura principal en el sistema que protege las laderas. (Rivera H. 2006).
La construcción de  obras de bioingeniería, busca drenar el exceso de agua, y canalizarla hacia los sectores más bajos y seguros del terreno evitando la saturación del suelo y por consiguiente el aumento del peso y  la lubricación del subsuelo con el riesgo subsecuente que se presente la remoción en masa.
</t>
  </si>
  <si>
    <t>Las obras de Bioingeniería pueden ser usadas como acciones inmediatas de mitigación de la problemática, y de manera simultanea realizar los estudios geotécnicos que se consideren necesarios, adicionalmente pueden actuar de manera sinérgica con obras como filtros en roca, gaviones o Muros de contención, y sistemas de conducción de aguas de escorrentía como alcantarillados y otros, una vez construidas se recomienda realizar un seguimiento continuo con el fin de establecer el efecto de estas sobre el movimiento del terreno que se pretendía mitigar.</t>
  </si>
  <si>
    <t>q</t>
  </si>
  <si>
    <t xml:space="preserve">SALARIO </t>
  </si>
  <si>
    <t>Tipo de Evento:</t>
  </si>
  <si>
    <t>Deslizamiento</t>
  </si>
  <si>
    <t>DIAGNOSTICO DE MOVIMIENTOS MASALES Y EROSION SEVERA</t>
  </si>
  <si>
    <t>INFORMACIÓN DEL SITIO</t>
  </si>
  <si>
    <t>SEMANAS</t>
  </si>
  <si>
    <t>JORNAL SEMANA</t>
  </si>
  <si>
    <t>Poste</t>
  </si>
  <si>
    <t>ahoyado</t>
  </si>
  <si>
    <t>Incado</t>
  </si>
  <si>
    <t>Valor metro cerca</t>
  </si>
  <si>
    <t>Grapas</t>
  </si>
  <si>
    <t>Puntillas</t>
  </si>
  <si>
    <t>Cantidad por 100 metros</t>
  </si>
  <si>
    <t>Suministro Poste y Pie de amigo , poste 2,2 mts por 12 cms, inmunizado en la base</t>
  </si>
  <si>
    <t>Rollo</t>
  </si>
  <si>
    <t>Alambre Puas</t>
  </si>
  <si>
    <t>Armado cerca</t>
  </si>
  <si>
    <t>Libra</t>
  </si>
  <si>
    <t>CERCA DE PROTECCION</t>
  </si>
  <si>
    <t>Suministro de Insumos</t>
  </si>
  <si>
    <t>Construccion Cerca</t>
  </si>
  <si>
    <t>INSUMOS</t>
  </si>
  <si>
    <t>MANO DE OBRA</t>
  </si>
  <si>
    <t>100 METROS</t>
  </si>
  <si>
    <t>1 METRO</t>
  </si>
  <si>
    <t>Transporte MAYOR, (Camion)</t>
  </si>
  <si>
    <t>TRANSPORTE MAYOR</t>
  </si>
  <si>
    <t>POSTE PIE DE AMIGO</t>
  </si>
  <si>
    <t>ALAMBRE ROLLO 400MTS</t>
  </si>
  <si>
    <t>GRAPA</t>
  </si>
  <si>
    <t>LIBRA</t>
  </si>
  <si>
    <t>PUNTILLA 3 PULG</t>
  </si>
  <si>
    <t>Transporte Mayor</t>
  </si>
  <si>
    <t>Insumos cercado</t>
  </si>
  <si>
    <t>CONSTRUCCION CERCADO</t>
  </si>
  <si>
    <t>ND.</t>
  </si>
  <si>
    <t>ND</t>
  </si>
  <si>
    <t>Fecha:</t>
  </si>
  <si>
    <t>Capataz Obra CAR</t>
  </si>
  <si>
    <t>Asistencia tecnica CAR</t>
  </si>
  <si>
    <t>Suministro pasto y fertilizacion</t>
  </si>
  <si>
    <t>meses</t>
  </si>
  <si>
    <t>Como se manifestó las acciones principales van  encaminadas al adecuado manejo de las aguas de escorrentía de la los lotes dedicados a la ganadería, y los invernaderos, para esto las obras de Bioingeniería se presentan como una alternativa de bajo costo, efectivas a muy corto plazo y que pueden ser utilizadas aun para evitar nuevos eventos; Con la implementación de las obras se logra adicionalmente evitar la recarga de la zona con aguas lluvias y se fortalece el componente forestal que en el tiempo será el que mantenga la zona con mejores condiciones para manejar los excesos de agua; En este caso es prioritario el cercado para evitar el acceso del ganado a los sitios que se traten, de lo contrario cualquier implementación que se realice tendrá una vida útil muy corta, por lo que esta actividad se debe concertar de antemano con el propietario del predio y ubicar los recursos adicionales para el cercado; El cambio de uso del suelo en el deslizamiento puede ser  dado por la producción de pastos de corte, actividad productiva que protege el terreno y permite al propietario tener acceso a forraje para sus animales.</t>
  </si>
  <si>
    <t>Se recomienda la utilización de filtros en Guadua, que drenen las zonas saturadas, trinchos que conduzcan las aguas superficiales y terrazas que permitan proteger de la erosión de taludes de zonas inestables, así como zanjas de drenaje que conduzcan el agua de escorrentía a las cunetas de la vía, finalmente se deben tapar las grietas que se hayan presentado para evitar la infiltración de agua en el subsuelo.</t>
  </si>
  <si>
    <t>Rio Bogotá</t>
  </si>
  <si>
    <t>metros 2</t>
  </si>
  <si>
    <t>Zanjas de drenaje: Se complementara en áreas  donde el flujo de agua de escorrentía sea evidente para lo que se procederá a construir zanjas de drenaje de al menos 0,6 * 0,5 metros,   Para la estabilización de las zanjas y evitar el socavamiento de estas es conveniente construir en su recorrido trinchos disipadores simples confinando las aguas producidas a un área bien definida</t>
  </si>
  <si>
    <t>PENDIENTE</t>
  </si>
  <si>
    <t>MENOR</t>
  </si>
  <si>
    <t>MAYOR</t>
  </si>
  <si>
    <t xml:space="preserve">DISTANCIA </t>
  </si>
  <si>
    <t>VERTICAL</t>
  </si>
  <si>
    <t>PENDIENTE PRACTICA</t>
  </si>
  <si>
    <t>OTRA</t>
  </si>
  <si>
    <t xml:space="preserve">PENDIENTE </t>
  </si>
  <si>
    <t>SALARIO PROMEDIO</t>
  </si>
  <si>
    <t>* se parte de 1,5 metros cubicos de excavacion por jornal</t>
  </si>
  <si>
    <t>* se parte de 1 metros cubicos de excavacion por jornal</t>
  </si>
  <si>
    <t>Suministro Cespedon Kikuyo</t>
  </si>
  <si>
    <t>CESPEDON KIKUYO</t>
  </si>
  <si>
    <t xml:space="preserve">CAPATAZ OBRA </t>
  </si>
  <si>
    <t>RUBRO</t>
  </si>
  <si>
    <t>PRUEBAS GEOTECNIA Y TOPOGRAFIA</t>
  </si>
  <si>
    <t>COSTO TOTAL INTERVENCION Q. QUINCHA OBRAS DE BIOINGENIERIA</t>
  </si>
  <si>
    <t>LEVANTAMIENTO 1/500</t>
  </si>
  <si>
    <t>HECTAREA</t>
  </si>
  <si>
    <t>COLOCACION MOJON</t>
  </si>
  <si>
    <t>SEGUIMIENTO MOJONES</t>
  </si>
  <si>
    <t>PROF ESP GRADO 19</t>
  </si>
  <si>
    <t>PERFORACION SUELO</t>
  </si>
  <si>
    <t>PRUEBAS DE INFILTRACION</t>
  </si>
  <si>
    <t>SITIO</t>
  </si>
  <si>
    <t>PESO UN PESO/VOL</t>
  </si>
  <si>
    <t>HUMEDAD NATURAL</t>
  </si>
  <si>
    <t>corte directo, suelos arcillo limosos, consolidado drenado (CD), 3 puntos</t>
  </si>
  <si>
    <t>LIMITE LIQUIDO PLASTICO</t>
  </si>
  <si>
    <t>GRANULOMETRIA POR TAMIZADO</t>
  </si>
  <si>
    <t>DETERMINACION DEL CONTENIDO ORGANICO/ENSAYO PERDIDA POR IGNICION</t>
  </si>
  <si>
    <t>GLOBAL</t>
  </si>
  <si>
    <t>SUBTOTAL 2</t>
  </si>
  <si>
    <t>PERSONAL</t>
  </si>
  <si>
    <t>Cespedon Kikuyo</t>
  </si>
  <si>
    <t xml:space="preserve">PERSONAL  </t>
  </si>
  <si>
    <t>GEOTECNISTA 30%</t>
  </si>
  <si>
    <t xml:space="preserve">la longitud de la terraza depende del relieve encontrado en el sector especifico del terreno que se esté estabilizando, deben tener un poste colocado al menos cada 0,7 metros, como soporte de una cortina de la Guadua colocada horizontalmente, desde la base de la zanja construida para la consolidación de la terraza. La obra requiere movimiento de tierra para la consolidación de esta, para lo que se debe apisonar el material constantemente evitando la infiltración del agua en el terreno. Este sistema se construirá a una distancia entre terrazas de 1 a 1,2 metros, (se dispondrá de Guadua de 10 a 12 centímetros de grosor, dispuestas horizontalmente y paralelas a la pared de la terraza). </t>
  </si>
  <si>
    <t>Revegetalizacion Pasto Valor Metro 2</t>
  </si>
  <si>
    <t>Arbol</t>
  </si>
  <si>
    <t>Suministro Arbol</t>
  </si>
  <si>
    <t>Ahoyado y siembra (Mano de Obra)</t>
  </si>
  <si>
    <t>sm 2015</t>
  </si>
  <si>
    <t>sm 2016</t>
  </si>
  <si>
    <t>REVEGETALIZACION CESPEDON KIKUYO</t>
  </si>
  <si>
    <r>
      <rPr>
        <b/>
        <sz val="10"/>
        <rFont val="Arial"/>
        <family val="2"/>
      </rPr>
      <t xml:space="preserve">Terrazas Vivas: </t>
    </r>
    <r>
      <rPr>
        <sz val="10"/>
        <rFont val="Arial"/>
        <family val="2"/>
      </rPr>
      <t xml:space="preserve">Estructuras de estabilización construidas en sentido de la pendiente formando balcones escalonados que luego son revestidos con cobertura vegetal. Brindan estabilidad en la base de terrenos deleznables, especialmente en taludes, derrumbes y negativos de carreteras. (Rivera, H 2.006). Serán construidas en Guadua y tendrán adicionalmente 2 estacas vivas de con capacidad de rebrote (Sauco, Sauce, Alisos), por metro de terraza construida. Las terrazas deben tener una altura promedio de 0.9 metros, donde el 40% de la obra se encuentra empotrada en una zanja construida en el terreno. </t>
    </r>
  </si>
  <si>
    <t xml:space="preserve">CAUSA PROBABLE DEL EVENTO - ANTECEDENTES </t>
  </si>
  <si>
    <t xml:space="preserve">JUSTIFICACION </t>
  </si>
  <si>
    <r>
      <rPr>
        <b/>
        <sz val="10"/>
        <rFont val="Arial"/>
        <family val="2"/>
      </rPr>
      <t xml:space="preserve">Trinchos Vivos Escalonados: </t>
    </r>
    <r>
      <rPr>
        <sz val="10"/>
        <rFont val="Arial"/>
        <family val="2"/>
      </rPr>
      <t xml:space="preserve">Estructuras biomecánicas establecidas en forma escalonada a través de la pendiente o dentro de los drenajes naturales y cauces de quebradas. Los trinchos vivos disipan la energía cinética del agua, controlan el arrastre de materiales, estabilizan el terreno y favorecen la recuperación de la vegetación; No son obras de contención. (Rivera, H 2.006). Estos también serán construidos en Guadua y tendrán adicionalmente 2 estacas vivas con capacidad de rebrote (Sauco, Sauce, Alisos, Sauco, Sauce y otros , por metro de trincho construido. Se recomienda construir un trincho cada 3 a 6 metros en el recorrido de los filtros vivos empotrados 12 centímetros abajo de la base de los filtros para evitar el desplazamiento de estos o el socavamiento de la base por las aguas colectadas por el filtro. (Rivera H. 2.011).
</t>
    </r>
  </si>
  <si>
    <t>Rionegro</t>
  </si>
  <si>
    <t>Villagomez</t>
  </si>
  <si>
    <t>Campamento</t>
  </si>
  <si>
    <t>Jairo Rodriguez</t>
  </si>
  <si>
    <t>Nelson Ahumada</t>
  </si>
  <si>
    <t>Ing. Umata</t>
  </si>
  <si>
    <t>Panorámica  del deslizamiento  sobre la via Pacho Villagomez</t>
  </si>
  <si>
    <t>Talud con material muy suelto 16 metros de altura.</t>
  </si>
  <si>
    <t>Grietas de tension hasta 10 mts arriba del escarpe principal</t>
  </si>
  <si>
    <t>Vista aguas abajo sobre la via Pacho - Villagomez.</t>
  </si>
  <si>
    <t>TIPO DE OBRAS DE BIOINGENIERIA</t>
  </si>
  <si>
    <t xml:space="preserve">Por las condiciones descritas anteriormente y en especial la ubicación del deslizamiento sobre la via de acceso al Municipio de Villagomez, consideramos que se hace importante realizar una intervención con obras de Bioingeniería de las cuales el Municipio conoce por las realizadas en los años 2014 y 2015 en la vecina Paime, secvtor Cuatro Caminos, que fueron asesoradas por la CAR, y ejecutadas por la Alcaldia, con muy pocos recursos y que a la fecha ha cumplido con su objetivo teniendo en cuenta su bajo costo y tiempo de intervención, adicionalmente de otras intervenciones realizadas por la CAR con mucho éxito en el Municipio de Pacho; La bioingeniería es una disciplina de la ingeniería en la que las plantas vivas y parte de estas, es utilizada como material de construcción vivo de forma tal que al desarrollarse logra una estrecha relación con los recursos que convergen como son: el suelo, roca y agua contribuyendo de manera esencial y duradera a la restauración de las áreas afectadas por erosión o procesos antrópicos. dentro de objetivos de la bioingeniería se busca la armonía entre los paisajes rurales y las obras que se construyen, lo que simultáneamente permite armonizar lo ecológico y estético y a su vez lo económico y técnico ya que las áreas podrán reincorporase en un tiempo prudencial a la economía rural y a su vez son de menor costo que las obras de ingeniería tradicional. Lo anterior se logra aprovechando los múltiples rendimientos de las plantas y utilizando técnicas constructivas de bajo impacto ambiental”. La bioingeniería se utiliza en todos los ámbitos de obra civil, especialmente en el ámbito de la consolidación de taludes, riberas y para el control de la erosión. 
</t>
  </si>
  <si>
    <t xml:space="preserve">Se sugiere el detalle del corte del talud proncipal, donde se mezclan filtros con terrazas o trinchos disipadores en filtros con filtros tipo 1.
Levantamiento realizado con GPS, proceso programas MapSource y AutoCAD. </t>
  </si>
  <si>
    <t>ASISTENTE TECNICO CAR</t>
  </si>
  <si>
    <t>Asistencia Tecnica CAR</t>
  </si>
  <si>
    <t>AISISTENTE CAR</t>
  </si>
  <si>
    <t>SUBTOTAL 1+2</t>
  </si>
  <si>
    <t>ASISTENTE CAR</t>
  </si>
  <si>
    <t>OBRAS VDA CAMPAMENTO</t>
  </si>
  <si>
    <t>Plantacion Arbol Valor Metro 2</t>
  </si>
  <si>
    <t>ASISTENCIA CAR</t>
  </si>
  <si>
    <t>PROF ESP GRADO 18</t>
  </si>
  <si>
    <t xml:space="preserve">El sitio seleccionado por la alcaldia Municipal par ala implementacion de un Piloto en Obras de Bioingenieria se caracteriza por un escarpe con caida frecuente de material sobre la via Pacho a Villagomez, y que requiere de envio de maquinaria pesada para la limpieza de la misma, como se observa la fuerte pendiente y el tipo de material que conforma el talud que es altamente erodable requiere de una pronta intervención.
El deslizamiento colinda con un predio particulares y han venido siendo dedicados durante décadas a actividades agrícolas de siembra de cultivos transitorios y acualmente a la Ganadería, reduciendo la cobertura natural y cambiando la orientación de los drenajes naturales, lo que genero la saturación de los sitios que se han afectado, adicionalmente para la construccion de la via donde fue necesario la excavación del material de la base del talud, lo que sumado a la temporada invernal y a condiciones del terreno, como el tipo de materiales y la pendiente fuerte, pudo haber generado los deslizamientos. 
</t>
  </si>
  <si>
    <r>
      <rPr>
        <b/>
        <sz val="10"/>
        <rFont val="Arial"/>
        <family val="2"/>
      </rPr>
      <t xml:space="preserve">Filtros Vivos: </t>
    </r>
    <r>
      <rPr>
        <sz val="10"/>
        <rFont val="Arial"/>
        <family val="2"/>
      </rPr>
      <t>Son zanjas interconectadas en el sentido de la pendiente, que se rellenan con camas superpuestas de Guadua, Los filtros vivos permiten la evacuación rápida de las aguas internas que saturan el terreno, conduciéndolas hasta lugares seguros, como drenajes naturales y cunetas. (Rivera, H 2.006). La zanja construida se debe profundizar hasta encontrar terreno totalmente firme o roca sin disturbar (Rivera, H 2.012), sin embargo se  Calcula una zanja promedio de 0.5 metros de base, un promedio de 1,0 metros de profundidad, y 16 piezas de Guadua. se realizara la siembra de estacas de material vegetal con capacidad de rebrote (Sauco, Sauce, Alisos, y otros),  a lo largo del filtro cada 50 centímetros. En áreas con menor concentración de agua, o dentro de los terraceos  se construirán filtros vivos tipo 2 con profundidad de 0,6 a 0,8 metros, y que descarguen en los filtros tipo 1., o en las paredes libres de suelo arriba de la  terraza aguas abajo.</t>
    </r>
  </si>
  <si>
    <t xml:space="preserve">DETALLE OBRA POR INSUMO </t>
  </si>
  <si>
    <t>VIA PACHO VILLAGOMEZ</t>
  </si>
</sst>
</file>

<file path=xl/styles.xml><?xml version="1.0" encoding="utf-8"?>
<styleSheet xmlns="http://schemas.openxmlformats.org/spreadsheetml/2006/main">
  <numFmts count="17">
    <numFmt numFmtId="44" formatCode="_-* #,##0.00\ &quot;€&quot;_-;\-* #,##0.00\ &quot;€&quot;_-;_-* &quot;-&quot;??\ &quot;€&quot;_-;_-@_-"/>
    <numFmt numFmtId="164" formatCode="_(* #,##0.00_);_(* \(#,##0.00\);_(* &quot;-&quot;??_);_(@_)"/>
    <numFmt numFmtId="165" formatCode="&quot;$&quot;\ #,##0.00;[Red]&quot;$&quot;\ \-#,##0.00"/>
    <numFmt numFmtId="166" formatCode="_(* #,##0.0_);_(* \(#,##0.0\);_(* &quot;-&quot;??_);_(@_)"/>
    <numFmt numFmtId="167" formatCode="_(* #,##0.0_);_(* \(#,##0.0\);_(* &quot;-&quot;?_);_(@_)"/>
    <numFmt numFmtId="168" formatCode="&quot;$&quot;\ #,##0.0;[Red]&quot;$&quot;\ \-#,##0.0"/>
    <numFmt numFmtId="169" formatCode="&quot;$&quot;\ #,##0.0;[Red]&quot;$&quot;\ #,##0.0"/>
    <numFmt numFmtId="170" formatCode="0.0"/>
    <numFmt numFmtId="171" formatCode="#,##0.0"/>
    <numFmt numFmtId="172" formatCode="#,##0.0;[Red]#,##0.0"/>
    <numFmt numFmtId="173" formatCode="_ * #,##0_ ;_ * \-#,##0_ ;_ * &quot;-&quot;??_ ;_ @_ "/>
    <numFmt numFmtId="174" formatCode="_ * #,##0.0_ ;_ * \-#,##0.0_ ;_ * &quot;-&quot;??_ ;_ @_ "/>
    <numFmt numFmtId="175" formatCode="_ * #,##0.00_ ;_ * \-#,##0.00_ ;_ * &quot;-&quot;??_ ;_ @_ "/>
    <numFmt numFmtId="176" formatCode="_(* #,##0_);_(* \(#,##0\);_(* &quot;-&quot;??_);_(@_)"/>
    <numFmt numFmtId="177" formatCode="0.0%"/>
    <numFmt numFmtId="178" formatCode="&quot;$&quot;\ #,##0.00;[Red]&quot;$&quot;\ #,##0.00"/>
    <numFmt numFmtId="179" formatCode="_([$$-240A]\ * #,##0.00_);_([$$-240A]\ * \(#,##0.00\);_([$$-240A]\ * &quot;-&quot;??_);_(@_)"/>
  </numFmts>
  <fonts count="34">
    <font>
      <sz val="11"/>
      <color theme="1"/>
      <name val="Calibri"/>
      <family val="2"/>
      <scheme val="minor"/>
    </font>
    <font>
      <sz val="11"/>
      <color indexed="8"/>
      <name val="Calibri"/>
      <family val="2"/>
    </font>
    <font>
      <sz val="11"/>
      <color indexed="8"/>
      <name val="Calibri"/>
      <family val="2"/>
    </font>
    <font>
      <b/>
      <sz val="11"/>
      <color indexed="8"/>
      <name val="Calibri"/>
      <family val="2"/>
    </font>
    <font>
      <b/>
      <sz val="14"/>
      <color indexed="8"/>
      <name val="Arial"/>
      <family val="2"/>
    </font>
    <font>
      <b/>
      <sz val="11"/>
      <color indexed="8"/>
      <name val="Arial"/>
      <family val="2"/>
    </font>
    <font>
      <sz val="11"/>
      <color indexed="8"/>
      <name val="Arial"/>
      <family val="2"/>
    </font>
    <font>
      <b/>
      <sz val="11"/>
      <name val="Arial"/>
      <family val="2"/>
    </font>
    <font>
      <sz val="11"/>
      <name val="Arial"/>
      <family val="2"/>
    </font>
    <font>
      <sz val="8"/>
      <name val="Calibri"/>
      <family val="2"/>
    </font>
    <font>
      <sz val="11"/>
      <color indexed="8"/>
      <name val="Calibri"/>
      <family val="2"/>
    </font>
    <font>
      <sz val="12"/>
      <color indexed="8"/>
      <name val="Arial"/>
      <family val="2"/>
    </font>
    <font>
      <b/>
      <sz val="12"/>
      <name val="Arial"/>
      <family val="2"/>
    </font>
    <font>
      <b/>
      <sz val="12"/>
      <color indexed="8"/>
      <name val="Arial"/>
      <family val="2"/>
    </font>
    <font>
      <sz val="12"/>
      <name val="Arial"/>
      <family val="2"/>
    </font>
    <font>
      <sz val="10"/>
      <name val="Arial"/>
      <family val="2"/>
    </font>
    <font>
      <b/>
      <sz val="10"/>
      <name val="Arial"/>
      <family val="2"/>
    </font>
    <font>
      <b/>
      <sz val="9"/>
      <name val="Arial"/>
      <family val="2"/>
    </font>
    <font>
      <sz val="10"/>
      <name val="Arial"/>
      <family val="2"/>
    </font>
    <font>
      <sz val="10"/>
      <name val="Arial Narrow"/>
      <family val="2"/>
    </font>
    <font>
      <sz val="11"/>
      <color theme="1"/>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rgb="FFFF0000"/>
      <name val="Arial"/>
      <family val="2"/>
    </font>
    <font>
      <b/>
      <sz val="12"/>
      <color rgb="FFFF0000"/>
      <name val="Calibri"/>
      <family val="2"/>
      <scheme val="minor"/>
    </font>
    <font>
      <b/>
      <sz val="14"/>
      <color rgb="FFFF0000"/>
      <name val="Calibri"/>
      <family val="2"/>
      <scheme val="minor"/>
    </font>
    <font>
      <sz val="10"/>
      <color rgb="FF000000"/>
      <name val="Arial"/>
      <family val="2"/>
    </font>
    <font>
      <b/>
      <sz val="14"/>
      <color rgb="FFFF0000"/>
      <name val="Arial"/>
      <family val="2"/>
    </font>
    <font>
      <sz val="11"/>
      <color theme="1"/>
      <name val="Arial"/>
      <family val="2"/>
    </font>
    <font>
      <b/>
      <sz val="7"/>
      <color rgb="FF000000"/>
      <name val="Verdana"/>
      <family val="2"/>
    </font>
    <font>
      <sz val="7"/>
      <color rgb="FF000000"/>
      <name val="Verdana"/>
      <family val="2"/>
    </font>
    <font>
      <sz val="10"/>
      <color rgb="FF111111"/>
      <name val="Verdana"/>
      <family val="2"/>
    </font>
  </fonts>
  <fills count="2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rgb="FFFCFCD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2" tint="-0.49998474074526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1">
    <xf numFmtId="0" fontId="0" fillId="0" borderId="0"/>
    <xf numFmtId="0" fontId="21" fillId="0" borderId="0" applyNumberFormat="0" applyFill="0" applyBorder="0" applyAlignment="0" applyProtection="0"/>
    <xf numFmtId="164" fontId="2" fillId="0" borderId="0" applyFont="0" applyFill="0" applyBorder="0" applyAlignment="0" applyProtection="0"/>
    <xf numFmtId="175" fontId="15" fillId="0" borderId="0" applyFont="0" applyFill="0" applyBorder="0" applyAlignment="0" applyProtection="0"/>
    <xf numFmtId="164" fontId="1" fillId="0" borderId="0" applyFont="0" applyFill="0" applyBorder="0" applyAlignment="0" applyProtection="0"/>
    <xf numFmtId="44" fontId="20" fillId="0" borderId="0" applyFont="0" applyFill="0" applyBorder="0" applyAlignment="0" applyProtection="0"/>
    <xf numFmtId="0" fontId="15" fillId="0" borderId="0"/>
    <xf numFmtId="0" fontId="15" fillId="0" borderId="0"/>
    <xf numFmtId="0" fontId="18" fillId="0" borderId="0"/>
    <xf numFmtId="9" fontId="20" fillId="0" borderId="0" applyFont="0" applyFill="0" applyBorder="0" applyAlignment="0" applyProtection="0"/>
    <xf numFmtId="9" fontId="15" fillId="0" borderId="0" applyFont="0" applyFill="0" applyBorder="0" applyAlignment="0" applyProtection="0"/>
  </cellStyleXfs>
  <cellXfs count="483">
    <xf numFmtId="0" fontId="0" fillId="0" borderId="0" xfId="0"/>
    <xf numFmtId="0" fontId="0" fillId="0" borderId="0" xfId="0" applyAlignment="1">
      <alignment horizontal="left" vertical="top"/>
    </xf>
    <xf numFmtId="0" fontId="0" fillId="0" borderId="0" xfId="0" applyAlignment="1">
      <alignment horizontal="center"/>
    </xf>
    <xf numFmtId="0" fontId="0" fillId="0" borderId="0" xfId="0" applyAlignment="1">
      <alignment vertical="top" wrapText="1"/>
    </xf>
    <xf numFmtId="166" fontId="10" fillId="0" borderId="0" xfId="2" applyNumberFormat="1" applyFont="1" applyAlignment="1">
      <alignment horizontal="center"/>
    </xf>
    <xf numFmtId="167" fontId="0" fillId="0" borderId="0" xfId="0" applyNumberFormat="1"/>
    <xf numFmtId="0" fontId="0" fillId="0" borderId="0" xfId="0" applyAlignment="1">
      <alignment horizontal="center" vertical="top" wrapText="1"/>
    </xf>
    <xf numFmtId="0" fontId="0" fillId="0" borderId="1" xfId="0" applyBorder="1"/>
    <xf numFmtId="0" fontId="0" fillId="0" borderId="1" xfId="0" applyBorder="1" applyAlignment="1">
      <alignment vertical="top" wrapText="1"/>
    </xf>
    <xf numFmtId="0" fontId="0" fillId="0" borderId="1" xfId="0" applyBorder="1" applyAlignment="1">
      <alignment horizontal="center"/>
    </xf>
    <xf numFmtId="0" fontId="0" fillId="0" borderId="0" xfId="0" applyBorder="1" applyAlignment="1">
      <alignment horizontal="center" vertical="top" wrapText="1"/>
    </xf>
    <xf numFmtId="0" fontId="0" fillId="0" borderId="1" xfId="0" applyBorder="1" applyAlignment="1">
      <alignment horizontal="center" vertical="top" wrapText="1"/>
    </xf>
    <xf numFmtId="0" fontId="0" fillId="0" borderId="2" xfId="0" applyBorder="1"/>
    <xf numFmtId="0" fontId="0" fillId="0" borderId="3" xfId="0" applyBorder="1" applyAlignment="1">
      <alignment horizontal="center" vertical="top" wrapText="1"/>
    </xf>
    <xf numFmtId="0" fontId="0" fillId="0" borderId="2" xfId="0" applyBorder="1" applyAlignment="1">
      <alignment vertical="top" wrapText="1"/>
    </xf>
    <xf numFmtId="0" fontId="0" fillId="0" borderId="4" xfId="0" applyBorder="1" applyAlignment="1">
      <alignment vertical="top" wrapText="1"/>
    </xf>
    <xf numFmtId="0" fontId="0" fillId="0" borderId="5" xfId="0" applyBorder="1" applyAlignment="1">
      <alignment horizontal="center"/>
    </xf>
    <xf numFmtId="166" fontId="10" fillId="0" borderId="5" xfId="2" applyNumberFormat="1" applyFont="1" applyBorder="1" applyAlignment="1">
      <alignment horizontal="center"/>
    </xf>
    <xf numFmtId="0" fontId="0" fillId="0" borderId="5" xfId="0" applyBorder="1"/>
    <xf numFmtId="0" fontId="0" fillId="0" borderId="1" xfId="0" applyBorder="1" applyAlignment="1">
      <alignment vertical="top"/>
    </xf>
    <xf numFmtId="0" fontId="0" fillId="0" borderId="1" xfId="0" applyBorder="1" applyAlignment="1">
      <alignment horizontal="center" vertical="top"/>
    </xf>
    <xf numFmtId="166" fontId="10" fillId="0" borderId="1" xfId="2" applyNumberFormat="1" applyFont="1" applyBorder="1" applyAlignment="1">
      <alignment vertical="top"/>
    </xf>
    <xf numFmtId="167" fontId="0" fillId="0" borderId="3" xfId="0" applyNumberFormat="1" applyBorder="1" applyAlignment="1">
      <alignment vertical="top"/>
    </xf>
    <xf numFmtId="167" fontId="3" fillId="0" borderId="6" xfId="0" applyNumberFormat="1" applyFont="1" applyBorder="1"/>
    <xf numFmtId="0" fontId="0" fillId="0" borderId="3" xfId="0" applyBorder="1"/>
    <xf numFmtId="0" fontId="0" fillId="0" borderId="3" xfId="0" applyBorder="1" applyAlignment="1">
      <alignment vertical="top" wrapText="1"/>
    </xf>
    <xf numFmtId="0" fontId="0" fillId="0" borderId="3" xfId="0" applyBorder="1" applyAlignment="1">
      <alignment horizontal="center"/>
    </xf>
    <xf numFmtId="0" fontId="0" fillId="0" borderId="6" xfId="0" applyBorder="1"/>
    <xf numFmtId="0" fontId="8" fillId="0" borderId="1" xfId="0" applyFont="1" applyBorder="1"/>
    <xf numFmtId="0" fontId="8" fillId="0" borderId="1" xfId="0" applyFont="1" applyBorder="1" applyAlignment="1">
      <alignment horizontal="right"/>
    </xf>
    <xf numFmtId="0" fontId="7" fillId="0" borderId="1" xfId="0" applyFont="1" applyBorder="1" applyAlignment="1">
      <alignment horizontal="right"/>
    </xf>
    <xf numFmtId="0" fontId="7" fillId="0" borderId="1" xfId="0" applyFont="1" applyBorder="1"/>
    <xf numFmtId="0" fontId="7" fillId="0" borderId="1" xfId="0" applyFont="1" applyBorder="1" applyAlignment="1">
      <alignment horizontal="left" vertical="top"/>
    </xf>
    <xf numFmtId="0" fontId="8" fillId="0" borderId="1" xfId="0" applyFont="1" applyBorder="1" applyAlignment="1">
      <alignment horizontal="left" vertical="top" wrapText="1"/>
    </xf>
    <xf numFmtId="0" fontId="6" fillId="0" borderId="2" xfId="0" applyFont="1" applyBorder="1"/>
    <xf numFmtId="0" fontId="5" fillId="0" borderId="2" xfId="0" applyFont="1" applyBorder="1"/>
    <xf numFmtId="0" fontId="3" fillId="0" borderId="4" xfId="0" applyFont="1" applyBorder="1" applyAlignment="1">
      <alignment vertical="top" wrapText="1"/>
    </xf>
    <xf numFmtId="166" fontId="10" fillId="0" borderId="5" xfId="2" applyNumberFormat="1" applyFont="1" applyBorder="1" applyAlignment="1">
      <alignment vertical="top"/>
    </xf>
    <xf numFmtId="168" fontId="8" fillId="0" borderId="1" xfId="0" applyNumberFormat="1" applyFont="1" applyBorder="1" applyAlignment="1">
      <alignment horizontal="right"/>
    </xf>
    <xf numFmtId="168" fontId="8" fillId="0" borderId="3" xfId="0" applyNumberFormat="1" applyFont="1" applyBorder="1" applyAlignment="1">
      <alignment horizontal="right"/>
    </xf>
    <xf numFmtId="168" fontId="7" fillId="0" borderId="3" xfId="0" applyNumberFormat="1" applyFont="1" applyBorder="1" applyAlignment="1">
      <alignment horizontal="right"/>
    </xf>
    <xf numFmtId="168" fontId="7" fillId="0" borderId="3" xfId="0" applyNumberFormat="1" applyFont="1" applyBorder="1"/>
    <xf numFmtId="168" fontId="0" fillId="0" borderId="0" xfId="0" applyNumberFormat="1"/>
    <xf numFmtId="164" fontId="10" fillId="0" borderId="0" xfId="2" applyFont="1"/>
    <xf numFmtId="0" fontId="0" fillId="2" borderId="1" xfId="0" applyFill="1" applyBorder="1" applyAlignment="1">
      <alignment horizontal="center"/>
    </xf>
    <xf numFmtId="166" fontId="10" fillId="3" borderId="1" xfId="2" applyNumberFormat="1" applyFont="1" applyFill="1" applyBorder="1" applyAlignment="1">
      <alignment vertical="top"/>
    </xf>
    <xf numFmtId="0" fontId="6" fillId="0" borderId="7" xfId="0" applyFont="1" applyBorder="1"/>
    <xf numFmtId="0" fontId="5" fillId="0" borderId="4" xfId="0" applyFont="1" applyBorder="1"/>
    <xf numFmtId="168" fontId="7" fillId="0" borderId="6" xfId="0" applyNumberFormat="1" applyFont="1" applyBorder="1" applyAlignment="1">
      <alignment horizontal="right"/>
    </xf>
    <xf numFmtId="0" fontId="7" fillId="0" borderId="8" xfId="0" applyFont="1" applyBorder="1" applyAlignment="1"/>
    <xf numFmtId="0" fontId="7" fillId="0" borderId="9" xfId="0" applyFont="1" applyBorder="1" applyAlignment="1"/>
    <xf numFmtId="0" fontId="11" fillId="0" borderId="7" xfId="0" applyFont="1" applyBorder="1"/>
    <xf numFmtId="0" fontId="14" fillId="0" borderId="1" xfId="0" applyFont="1" applyBorder="1" applyAlignment="1">
      <alignment horizontal="left" vertical="top" wrapText="1"/>
    </xf>
    <xf numFmtId="0" fontId="14" fillId="0" borderId="1" xfId="0" applyFont="1" applyBorder="1"/>
    <xf numFmtId="0" fontId="12" fillId="0" borderId="10" xfId="0" applyFont="1" applyBorder="1" applyAlignment="1">
      <alignment horizontal="center" vertical="top" wrapText="1"/>
    </xf>
    <xf numFmtId="0" fontId="12" fillId="0" borderId="10" xfId="0" applyFont="1" applyBorder="1" applyAlignment="1">
      <alignment horizontal="center" vertical="top"/>
    </xf>
    <xf numFmtId="0" fontId="0" fillId="0" borderId="11" xfId="0" applyBorder="1" applyAlignment="1">
      <alignment vertical="top" wrapText="1"/>
    </xf>
    <xf numFmtId="166" fontId="10" fillId="0" borderId="12" xfId="2" applyNumberFormat="1" applyFont="1" applyBorder="1" applyAlignment="1">
      <alignment vertical="top"/>
    </xf>
    <xf numFmtId="166" fontId="10" fillId="0" borderId="12" xfId="2" applyNumberFormat="1" applyFont="1" applyBorder="1" applyAlignment="1">
      <alignment horizontal="center"/>
    </xf>
    <xf numFmtId="0" fontId="0" fillId="0" borderId="13" xfId="0" applyBorder="1"/>
    <xf numFmtId="0" fontId="0" fillId="0" borderId="1" xfId="0" applyFill="1" applyBorder="1" applyAlignment="1">
      <alignment horizontal="center" vertical="top" wrapText="1"/>
    </xf>
    <xf numFmtId="167" fontId="0" fillId="0" borderId="1" xfId="0" applyNumberFormat="1" applyBorder="1" applyAlignment="1">
      <alignment horizontal="center" vertical="top" wrapText="1"/>
    </xf>
    <xf numFmtId="164" fontId="20" fillId="0" borderId="1" xfId="2" applyFont="1" applyBorder="1"/>
    <xf numFmtId="0" fontId="7" fillId="0" borderId="14" xfId="0" applyFont="1" applyBorder="1" applyAlignment="1"/>
    <xf numFmtId="0" fontId="7" fillId="0" borderId="15" xfId="0" applyFont="1" applyBorder="1" applyAlignment="1"/>
    <xf numFmtId="0" fontId="7" fillId="0" borderId="16" xfId="0" applyFont="1" applyBorder="1" applyAlignment="1"/>
    <xf numFmtId="170" fontId="8" fillId="0" borderId="1" xfId="0" applyNumberFormat="1" applyFont="1" applyBorder="1" applyAlignment="1">
      <alignment horizontal="right"/>
    </xf>
    <xf numFmtId="170" fontId="7" fillId="0" borderId="1" xfId="0" applyNumberFormat="1" applyFont="1" applyBorder="1" applyAlignment="1">
      <alignment horizontal="right"/>
    </xf>
    <xf numFmtId="170" fontId="7" fillId="0" borderId="1" xfId="0" applyNumberFormat="1" applyFont="1" applyBorder="1"/>
    <xf numFmtId="170" fontId="7" fillId="0" borderId="15" xfId="0" applyNumberFormat="1" applyFont="1" applyBorder="1" applyAlignment="1"/>
    <xf numFmtId="164" fontId="0" fillId="0" borderId="0" xfId="0" applyNumberFormat="1"/>
    <xf numFmtId="0" fontId="13" fillId="0" borderId="2" xfId="0" applyFont="1" applyBorder="1"/>
    <xf numFmtId="0" fontId="24" fillId="0" borderId="4" xfId="0" applyFont="1" applyBorder="1"/>
    <xf numFmtId="0" fontId="14" fillId="0" borderId="5" xfId="0" applyFont="1" applyBorder="1" applyAlignment="1">
      <alignment horizontal="left" vertical="top" wrapText="1"/>
    </xf>
    <xf numFmtId="0" fontId="14" fillId="0" borderId="5" xfId="0" applyFont="1" applyBorder="1"/>
    <xf numFmtId="166" fontId="1" fillId="0" borderId="17" xfId="2" applyNumberFormat="1" applyFont="1" applyFill="1" applyBorder="1" applyAlignment="1">
      <alignment vertical="top"/>
    </xf>
    <xf numFmtId="166" fontId="1" fillId="0" borderId="1" xfId="2" applyNumberFormat="1" applyFont="1" applyBorder="1" applyAlignment="1">
      <alignment vertical="top"/>
    </xf>
    <xf numFmtId="0" fontId="23" fillId="0" borderId="1" xfId="0" applyFont="1" applyBorder="1" applyAlignment="1">
      <alignment horizontal="center"/>
    </xf>
    <xf numFmtId="164" fontId="20" fillId="0" borderId="1" xfId="2" applyFont="1" applyBorder="1" applyAlignment="1">
      <alignment horizontal="center"/>
    </xf>
    <xf numFmtId="0" fontId="23" fillId="0" borderId="1" xfId="0" applyFont="1" applyBorder="1"/>
    <xf numFmtId="164" fontId="20" fillId="0" borderId="1" xfId="2" applyFont="1" applyBorder="1" applyAlignment="1">
      <alignment horizontal="center" vertical="top"/>
    </xf>
    <xf numFmtId="164" fontId="20" fillId="0" borderId="0" xfId="2" applyFont="1"/>
    <xf numFmtId="0" fontId="0" fillId="0" borderId="1" xfId="0" applyBorder="1" applyAlignment="1">
      <alignment horizontal="center"/>
    </xf>
    <xf numFmtId="0" fontId="0" fillId="0" borderId="1" xfId="0" applyBorder="1" applyAlignment="1">
      <alignment horizontal="center"/>
    </xf>
    <xf numFmtId="166" fontId="1" fillId="0" borderId="5" xfId="2" applyNumberFormat="1" applyFont="1" applyBorder="1" applyAlignment="1">
      <alignment vertical="top"/>
    </xf>
    <xf numFmtId="166" fontId="1" fillId="0" borderId="5" xfId="2" applyNumberFormat="1" applyFont="1" applyBorder="1" applyAlignment="1">
      <alignment horizontal="center"/>
    </xf>
    <xf numFmtId="0" fontId="5" fillId="4" borderId="2" xfId="0" applyFont="1" applyFill="1" applyBorder="1" applyAlignment="1">
      <alignment horizontal="center"/>
    </xf>
    <xf numFmtId="0" fontId="5" fillId="5" borderId="2" xfId="0" applyFont="1" applyFill="1" applyBorder="1"/>
    <xf numFmtId="0" fontId="5" fillId="6" borderId="2" xfId="0" applyFont="1" applyFill="1" applyBorder="1"/>
    <xf numFmtId="0" fontId="5" fillId="7" borderId="2" xfId="0" applyFont="1" applyFill="1" applyBorder="1"/>
    <xf numFmtId="0" fontId="5" fillId="8" borderId="2" xfId="0" applyFont="1" applyFill="1" applyBorder="1"/>
    <xf numFmtId="0" fontId="5" fillId="9" borderId="2" xfId="0" applyFont="1" applyFill="1" applyBorder="1"/>
    <xf numFmtId="0" fontId="5" fillId="4" borderId="2" xfId="0" applyFont="1" applyFill="1" applyBorder="1"/>
    <xf numFmtId="0" fontId="5" fillId="10" borderId="2" xfId="0" applyFont="1" applyFill="1" applyBorder="1"/>
    <xf numFmtId="0" fontId="5" fillId="11" borderId="2" xfId="0" applyFont="1" applyFill="1" applyBorder="1"/>
    <xf numFmtId="0" fontId="5" fillId="0" borderId="18" xfId="0" applyFont="1" applyBorder="1" applyAlignment="1"/>
    <xf numFmtId="0" fontId="7" fillId="6" borderId="8" xfId="0" applyFont="1" applyFill="1" applyBorder="1" applyAlignment="1"/>
    <xf numFmtId="0" fontId="7" fillId="6" borderId="19" xfId="0" applyFont="1" applyFill="1" applyBorder="1" applyAlignment="1"/>
    <xf numFmtId="0" fontId="7" fillId="7" borderId="8" xfId="0" applyFont="1" applyFill="1" applyBorder="1" applyAlignment="1"/>
    <xf numFmtId="0" fontId="7" fillId="7" borderId="19" xfId="0" applyFont="1" applyFill="1" applyBorder="1" applyAlignment="1"/>
    <xf numFmtId="170" fontId="7" fillId="7" borderId="1" xfId="0" applyNumberFormat="1" applyFont="1" applyFill="1" applyBorder="1" applyAlignment="1"/>
    <xf numFmtId="0" fontId="7" fillId="7" borderId="20" xfId="0" applyFont="1" applyFill="1" applyBorder="1" applyAlignment="1"/>
    <xf numFmtId="0" fontId="7" fillId="4" borderId="8" xfId="0" applyFont="1" applyFill="1" applyBorder="1" applyAlignment="1"/>
    <xf numFmtId="0" fontId="7" fillId="4" borderId="19" xfId="0" applyFont="1" applyFill="1" applyBorder="1" applyAlignment="1"/>
    <xf numFmtId="170" fontId="7" fillId="4" borderId="1" xfId="0" applyNumberFormat="1" applyFont="1" applyFill="1" applyBorder="1" applyAlignment="1"/>
    <xf numFmtId="0" fontId="7" fillId="4" borderId="20" xfId="0" applyFont="1" applyFill="1" applyBorder="1" applyAlignment="1"/>
    <xf numFmtId="0" fontId="7" fillId="5" borderId="8" xfId="0" applyFont="1" applyFill="1" applyBorder="1" applyAlignment="1"/>
    <xf numFmtId="0" fontId="7" fillId="5" borderId="19" xfId="0" applyFont="1" applyFill="1" applyBorder="1" applyAlignment="1"/>
    <xf numFmtId="170" fontId="7" fillId="5" borderId="1" xfId="0" applyNumberFormat="1" applyFont="1" applyFill="1" applyBorder="1" applyAlignment="1"/>
    <xf numFmtId="0" fontId="7" fillId="5" borderId="20" xfId="0" applyFont="1" applyFill="1" applyBorder="1" applyAlignment="1"/>
    <xf numFmtId="0" fontId="7" fillId="10" borderId="8" xfId="0" applyFont="1" applyFill="1" applyBorder="1" applyAlignment="1"/>
    <xf numFmtId="0" fontId="7" fillId="10" borderId="19" xfId="0" applyFont="1" applyFill="1" applyBorder="1" applyAlignment="1"/>
    <xf numFmtId="170" fontId="7" fillId="10" borderId="1" xfId="0" applyNumberFormat="1" applyFont="1" applyFill="1" applyBorder="1" applyAlignment="1"/>
    <xf numFmtId="0" fontId="7" fillId="10" borderId="20" xfId="0" applyFont="1" applyFill="1" applyBorder="1" applyAlignment="1"/>
    <xf numFmtId="0" fontId="7" fillId="9" borderId="8" xfId="0" applyFont="1" applyFill="1" applyBorder="1" applyAlignment="1"/>
    <xf numFmtId="0" fontId="7" fillId="9" borderId="19" xfId="0" applyFont="1" applyFill="1" applyBorder="1" applyAlignment="1"/>
    <xf numFmtId="170" fontId="7" fillId="9" borderId="1" xfId="0" applyNumberFormat="1" applyFont="1" applyFill="1" applyBorder="1" applyAlignment="1"/>
    <xf numFmtId="0" fontId="7" fillId="9" borderId="20" xfId="0" applyFont="1" applyFill="1" applyBorder="1" applyAlignment="1"/>
    <xf numFmtId="0" fontId="7" fillId="8" borderId="8" xfId="0" applyFont="1" applyFill="1" applyBorder="1" applyAlignment="1"/>
    <xf numFmtId="0" fontId="7" fillId="8" borderId="19" xfId="0" applyFont="1" applyFill="1" applyBorder="1" applyAlignment="1"/>
    <xf numFmtId="170" fontId="7" fillId="8" borderId="1" xfId="0" applyNumberFormat="1" applyFont="1" applyFill="1" applyBorder="1" applyAlignment="1"/>
    <xf numFmtId="0" fontId="7" fillId="8" borderId="20" xfId="0" applyFont="1" applyFill="1" applyBorder="1" applyAlignment="1"/>
    <xf numFmtId="0" fontId="7" fillId="11" borderId="8" xfId="0" applyFont="1" applyFill="1" applyBorder="1" applyAlignment="1"/>
    <xf numFmtId="0" fontId="7" fillId="11" borderId="19" xfId="0" applyFont="1" applyFill="1" applyBorder="1" applyAlignment="1"/>
    <xf numFmtId="170" fontId="7" fillId="11" borderId="1" xfId="0" applyNumberFormat="1" applyFont="1" applyFill="1" applyBorder="1" applyAlignment="1"/>
    <xf numFmtId="0" fontId="7" fillId="11" borderId="20" xfId="0" applyFont="1" applyFill="1" applyBorder="1" applyAlignment="1"/>
    <xf numFmtId="0" fontId="5" fillId="12" borderId="2" xfId="0" applyFont="1" applyFill="1" applyBorder="1"/>
    <xf numFmtId="0" fontId="0" fillId="3" borderId="1" xfId="0" applyFill="1" applyBorder="1" applyAlignment="1">
      <alignment vertical="top"/>
    </xf>
    <xf numFmtId="164" fontId="20" fillId="0" borderId="0" xfId="2" applyFont="1"/>
    <xf numFmtId="170" fontId="0" fillId="0" borderId="1" xfId="0" applyNumberFormat="1" applyBorder="1" applyAlignment="1">
      <alignment vertical="top"/>
    </xf>
    <xf numFmtId="167" fontId="20" fillId="0" borderId="1" xfId="2" applyNumberFormat="1" applyFont="1" applyBorder="1"/>
    <xf numFmtId="167" fontId="0" fillId="0" borderId="1" xfId="0" applyNumberFormat="1" applyBorder="1"/>
    <xf numFmtId="170" fontId="0" fillId="0" borderId="1" xfId="0" applyNumberFormat="1" applyBorder="1"/>
    <xf numFmtId="0" fontId="7" fillId="6" borderId="1" xfId="0" applyFont="1" applyFill="1" applyBorder="1" applyAlignment="1"/>
    <xf numFmtId="0" fontId="22" fillId="0" borderId="0" xfId="0" applyFont="1"/>
    <xf numFmtId="165" fontId="22" fillId="0" borderId="0" xfId="0" applyNumberFormat="1" applyFont="1"/>
    <xf numFmtId="169" fontId="22" fillId="0" borderId="0" xfId="0" applyNumberFormat="1" applyFont="1"/>
    <xf numFmtId="0" fontId="25" fillId="0" borderId="21" xfId="0" applyFont="1" applyFill="1" applyBorder="1" applyAlignment="1">
      <alignment horizontal="center"/>
    </xf>
    <xf numFmtId="172" fontId="26" fillId="0" borderId="22" xfId="0" applyNumberFormat="1" applyFont="1" applyBorder="1"/>
    <xf numFmtId="172" fontId="27" fillId="0" borderId="23" xfId="0" applyNumberFormat="1" applyFont="1" applyBorder="1"/>
    <xf numFmtId="164" fontId="20" fillId="0" borderId="1" xfId="2" applyFont="1" applyBorder="1" applyAlignment="1">
      <alignment horizontal="center" vertical="top"/>
    </xf>
    <xf numFmtId="0" fontId="15" fillId="0" borderId="24" xfId="7" applyBorder="1" applyAlignment="1">
      <alignment wrapText="1"/>
    </xf>
    <xf numFmtId="0" fontId="15" fillId="0" borderId="25" xfId="7" applyBorder="1" applyAlignment="1">
      <alignment wrapText="1"/>
    </xf>
    <xf numFmtId="0" fontId="15" fillId="0" borderId="25" xfId="7" applyFont="1" applyBorder="1" applyAlignment="1">
      <alignment vertical="top" wrapText="1"/>
    </xf>
    <xf numFmtId="0" fontId="15" fillId="0" borderId="26" xfId="7" applyFont="1" applyBorder="1" applyAlignment="1">
      <alignment vertical="top" wrapText="1"/>
    </xf>
    <xf numFmtId="0" fontId="15" fillId="0" borderId="27" xfId="7" applyBorder="1" applyAlignment="1">
      <alignment wrapText="1"/>
    </xf>
    <xf numFmtId="0" fontId="16" fillId="0" borderId="1" xfId="7" applyFont="1" applyBorder="1" applyAlignment="1">
      <alignment horizontal="center" vertical="top" wrapText="1"/>
    </xf>
    <xf numFmtId="0" fontId="15" fillId="0" borderId="28" xfId="7" applyBorder="1" applyAlignment="1">
      <alignment wrapText="1"/>
    </xf>
    <xf numFmtId="173" fontId="15" fillId="0" borderId="1" xfId="2" applyNumberFormat="1" applyFont="1" applyBorder="1" applyAlignment="1">
      <alignment vertical="top" wrapText="1"/>
    </xf>
    <xf numFmtId="0" fontId="15" fillId="0" borderId="1" xfId="7" applyFont="1" applyBorder="1" applyAlignment="1">
      <alignment vertical="top" wrapText="1"/>
    </xf>
    <xf numFmtId="0" fontId="15" fillId="0" borderId="28" xfId="7" applyBorder="1" applyAlignment="1">
      <alignment horizontal="right" wrapText="1"/>
    </xf>
    <xf numFmtId="0" fontId="15" fillId="0" borderId="29" xfId="7" applyBorder="1" applyAlignment="1">
      <alignment wrapText="1"/>
    </xf>
    <xf numFmtId="0" fontId="15" fillId="0" borderId="30" xfId="7" applyBorder="1" applyAlignment="1">
      <alignment wrapText="1"/>
    </xf>
    <xf numFmtId="0" fontId="15" fillId="0" borderId="31" xfId="7" applyBorder="1" applyAlignment="1">
      <alignment horizontal="right" wrapText="1"/>
    </xf>
    <xf numFmtId="0" fontId="15" fillId="0" borderId="0" xfId="7" applyAlignment="1">
      <alignment wrapText="1"/>
    </xf>
    <xf numFmtId="0" fontId="15" fillId="0" borderId="0" xfId="7" applyAlignment="1">
      <alignment horizontal="right" wrapText="1"/>
    </xf>
    <xf numFmtId="174" fontId="15" fillId="0" borderId="0" xfId="7" applyNumberFormat="1" applyAlignment="1">
      <alignment wrapText="1"/>
    </xf>
    <xf numFmtId="164" fontId="20" fillId="0" borderId="1" xfId="2" applyFont="1" applyFill="1" applyBorder="1" applyAlignment="1">
      <alignment horizontal="center"/>
    </xf>
    <xf numFmtId="164" fontId="20" fillId="0" borderId="1" xfId="2" applyFont="1" applyBorder="1"/>
    <xf numFmtId="164" fontId="20" fillId="0" borderId="1" xfId="2" applyFont="1" applyBorder="1" applyAlignment="1">
      <alignment horizontal="center"/>
    </xf>
    <xf numFmtId="0" fontId="15" fillId="0" borderId="0" xfId="7"/>
    <xf numFmtId="0" fontId="15" fillId="0" borderId="0" xfId="7" applyBorder="1" applyAlignment="1">
      <alignment wrapText="1"/>
    </xf>
    <xf numFmtId="0" fontId="16" fillId="0" borderId="25" xfId="7" applyFont="1" applyBorder="1" applyAlignment="1">
      <alignment horizontal="left"/>
    </xf>
    <xf numFmtId="0" fontId="15" fillId="0" borderId="25" xfId="7" applyFont="1" applyBorder="1" applyAlignment="1">
      <alignment horizontal="left"/>
    </xf>
    <xf numFmtId="0" fontId="16" fillId="0" borderId="25" xfId="7" applyFont="1" applyBorder="1"/>
    <xf numFmtId="0" fontId="15" fillId="0" borderId="26" xfId="7" applyFont="1" applyBorder="1" applyAlignment="1">
      <alignment wrapText="1"/>
    </xf>
    <xf numFmtId="0" fontId="16" fillId="0" borderId="0" xfId="7" applyFont="1" applyBorder="1" applyAlignment="1">
      <alignment horizontal="left"/>
    </xf>
    <xf numFmtId="0" fontId="15" fillId="0" borderId="0" xfId="7" applyFont="1" applyBorder="1" applyAlignment="1"/>
    <xf numFmtId="0" fontId="15" fillId="0" borderId="0" xfId="7" applyFont="1" applyBorder="1" applyAlignment="1">
      <alignment horizontal="center" wrapText="1"/>
    </xf>
    <xf numFmtId="0" fontId="19" fillId="0" borderId="0" xfId="7" applyFont="1" applyBorder="1" applyAlignment="1">
      <alignment horizontal="left"/>
    </xf>
    <xf numFmtId="0" fontId="15" fillId="0" borderId="28" xfId="7" applyFont="1" applyBorder="1" applyAlignment="1">
      <alignment wrapText="1"/>
    </xf>
    <xf numFmtId="0" fontId="28" fillId="0" borderId="0" xfId="8" applyFont="1" applyAlignment="1">
      <alignment vertical="center"/>
    </xf>
    <xf numFmtId="0" fontId="15" fillId="0" borderId="0" xfId="7" applyFont="1" applyBorder="1" applyAlignment="1">
      <alignment horizontal="left"/>
    </xf>
    <xf numFmtId="0" fontId="15" fillId="0" borderId="0" xfId="7" applyFont="1" applyBorder="1" applyAlignment="1">
      <alignment wrapText="1"/>
    </xf>
    <xf numFmtId="0" fontId="16" fillId="0" borderId="0" xfId="7" applyFont="1" applyFill="1" applyBorder="1" applyAlignment="1"/>
    <xf numFmtId="0" fontId="15" fillId="0" borderId="0" xfId="7" applyFont="1" applyBorder="1"/>
    <xf numFmtId="0" fontId="16" fillId="0" borderId="0" xfId="7" applyFont="1" applyBorder="1" applyAlignment="1">
      <alignment wrapText="1"/>
    </xf>
    <xf numFmtId="15" fontId="15" fillId="0" borderId="0" xfId="7" applyNumberFormat="1" applyFont="1" applyBorder="1" applyAlignment="1">
      <alignment horizontal="left" wrapText="1"/>
    </xf>
    <xf numFmtId="0" fontId="15" fillId="0" borderId="30" xfId="7" applyFont="1" applyBorder="1" applyAlignment="1">
      <alignment horizontal="left"/>
    </xf>
    <xf numFmtId="0" fontId="15" fillId="0" borderId="30" xfId="7" applyFont="1" applyBorder="1" applyAlignment="1">
      <alignment wrapText="1"/>
    </xf>
    <xf numFmtId="0" fontId="15" fillId="0" borderId="31" xfId="7" applyFont="1" applyBorder="1" applyAlignment="1">
      <alignment wrapText="1"/>
    </xf>
    <xf numFmtId="0" fontId="15" fillId="0" borderId="26" xfId="7" applyBorder="1" applyAlignment="1">
      <alignment wrapText="1"/>
    </xf>
    <xf numFmtId="0" fontId="15" fillId="0" borderId="18" xfId="7" applyBorder="1" applyAlignment="1">
      <alignment wrapText="1"/>
    </xf>
    <xf numFmtId="0" fontId="16" fillId="0" borderId="26" xfId="7" applyFont="1" applyBorder="1" applyAlignment="1">
      <alignment wrapText="1"/>
    </xf>
    <xf numFmtId="0" fontId="16" fillId="0" borderId="28" xfId="7" applyFont="1" applyBorder="1" applyAlignment="1">
      <alignment wrapText="1"/>
    </xf>
    <xf numFmtId="0" fontId="16" fillId="0" borderId="31" xfId="7" applyFont="1" applyBorder="1" applyAlignment="1">
      <alignment wrapText="1"/>
    </xf>
    <xf numFmtId="0" fontId="15" fillId="0" borderId="0" xfId="7" applyBorder="1"/>
    <xf numFmtId="0" fontId="15" fillId="0" borderId="0" xfId="7" applyFont="1" applyBorder="1" applyAlignment="1">
      <alignment vertical="top" wrapText="1"/>
    </xf>
    <xf numFmtId="173" fontId="15" fillId="0" borderId="1" xfId="3" applyNumberFormat="1" applyFont="1" applyBorder="1" applyAlignment="1">
      <alignment vertical="top" wrapText="1"/>
    </xf>
    <xf numFmtId="0" fontId="15" fillId="0" borderId="0" xfId="3" applyNumberFormat="1" applyFont="1" applyBorder="1" applyAlignment="1">
      <alignment horizontal="left" vertical="top" wrapText="1"/>
    </xf>
    <xf numFmtId="164" fontId="20" fillId="0" borderId="1" xfId="2" applyFont="1" applyBorder="1" applyAlignment="1">
      <alignment horizontal="center" wrapText="1"/>
    </xf>
    <xf numFmtId="0" fontId="5" fillId="13" borderId="2" xfId="0" applyFont="1" applyFill="1" applyBorder="1"/>
    <xf numFmtId="0" fontId="7" fillId="13" borderId="8" xfId="0" applyFont="1" applyFill="1" applyBorder="1" applyAlignment="1"/>
    <xf numFmtId="0" fontId="7" fillId="13" borderId="19" xfId="0" applyFont="1" applyFill="1" applyBorder="1" applyAlignment="1"/>
    <xf numFmtId="170" fontId="7" fillId="13" borderId="1" xfId="0" applyNumberFormat="1" applyFont="1" applyFill="1" applyBorder="1" applyAlignment="1"/>
    <xf numFmtId="0" fontId="7" fillId="13" borderId="20" xfId="0" applyFont="1" applyFill="1" applyBorder="1" applyAlignment="1"/>
    <xf numFmtId="0" fontId="5" fillId="14" borderId="2" xfId="0" applyFont="1" applyFill="1" applyBorder="1"/>
    <xf numFmtId="0" fontId="7" fillId="14" borderId="8" xfId="0" applyFont="1" applyFill="1" applyBorder="1" applyAlignment="1"/>
    <xf numFmtId="0" fontId="7" fillId="14" borderId="19" xfId="0" applyFont="1" applyFill="1" applyBorder="1" applyAlignment="1"/>
    <xf numFmtId="0" fontId="7" fillId="14" borderId="20" xfId="0" applyFont="1" applyFill="1" applyBorder="1" applyAlignment="1"/>
    <xf numFmtId="164" fontId="20" fillId="0" borderId="1" xfId="2" applyFont="1" applyBorder="1" applyAlignment="1">
      <alignment horizontal="center" vertical="top"/>
    </xf>
    <xf numFmtId="0" fontId="0" fillId="0" borderId="0" xfId="0" applyBorder="1"/>
    <xf numFmtId="164" fontId="0" fillId="3" borderId="0" xfId="0" applyNumberFormat="1" applyFill="1"/>
    <xf numFmtId="167" fontId="0" fillId="3" borderId="0" xfId="0" applyNumberFormat="1" applyFill="1"/>
    <xf numFmtId="176" fontId="16" fillId="0" borderId="0" xfId="2" applyNumberFormat="1" applyFont="1" applyFill="1" applyBorder="1" applyAlignment="1"/>
    <xf numFmtId="166" fontId="1" fillId="0" borderId="1" xfId="4" applyNumberFormat="1" applyFont="1" applyBorder="1" applyAlignment="1">
      <alignment vertical="top"/>
    </xf>
    <xf numFmtId="0" fontId="13" fillId="15" borderId="32" xfId="0" applyFont="1" applyFill="1" applyBorder="1"/>
    <xf numFmtId="0" fontId="12" fillId="15" borderId="33" xfId="0" applyFont="1" applyFill="1" applyBorder="1" applyAlignment="1">
      <alignment horizontal="center"/>
    </xf>
    <xf numFmtId="170" fontId="12" fillId="15" borderId="33" xfId="0" applyNumberFormat="1" applyFont="1" applyFill="1" applyBorder="1" applyAlignment="1">
      <alignment horizontal="center"/>
    </xf>
    <xf numFmtId="0" fontId="12" fillId="15" borderId="34" xfId="0" applyFont="1" applyFill="1" applyBorder="1" applyAlignment="1">
      <alignment horizontal="center"/>
    </xf>
    <xf numFmtId="0" fontId="13" fillId="15" borderId="7" xfId="0" applyFont="1" applyFill="1" applyBorder="1"/>
    <xf numFmtId="0" fontId="14" fillId="15" borderId="10" xfId="0" applyFont="1" applyFill="1" applyBorder="1" applyAlignment="1">
      <alignment horizontal="left" vertical="top" wrapText="1"/>
    </xf>
    <xf numFmtId="0" fontId="14" fillId="15" borderId="10" xfId="0" applyFont="1" applyFill="1" applyBorder="1"/>
    <xf numFmtId="171" fontId="14" fillId="15" borderId="10" xfId="0" applyNumberFormat="1" applyFont="1" applyFill="1" applyBorder="1" applyAlignment="1">
      <alignment horizontal="right"/>
    </xf>
    <xf numFmtId="168" fontId="14" fillId="15" borderId="10" xfId="0" applyNumberFormat="1" applyFont="1" applyFill="1" applyBorder="1" applyAlignment="1">
      <alignment horizontal="right"/>
    </xf>
    <xf numFmtId="0" fontId="13" fillId="15" borderId="2" xfId="0" applyFont="1" applyFill="1" applyBorder="1"/>
    <xf numFmtId="0" fontId="14" fillId="15" borderId="1" xfId="0" applyFont="1" applyFill="1" applyBorder="1" applyAlignment="1">
      <alignment horizontal="left" vertical="top" wrapText="1"/>
    </xf>
    <xf numFmtId="0" fontId="14" fillId="15" borderId="1" xfId="0" applyFont="1" applyFill="1" applyBorder="1"/>
    <xf numFmtId="170" fontId="14" fillId="15" borderId="1" xfId="0" applyNumberFormat="1" applyFont="1" applyFill="1" applyBorder="1" applyAlignment="1">
      <alignment horizontal="right"/>
    </xf>
    <xf numFmtId="168" fontId="14" fillId="15" borderId="1" xfId="0" applyNumberFormat="1" applyFont="1" applyFill="1" applyBorder="1" applyAlignment="1">
      <alignment horizontal="right"/>
    </xf>
    <xf numFmtId="168" fontId="14" fillId="15" borderId="3" xfId="0" applyNumberFormat="1" applyFont="1" applyFill="1" applyBorder="1" applyAlignment="1">
      <alignment horizontal="right"/>
    </xf>
    <xf numFmtId="0" fontId="13" fillId="15" borderId="4" xfId="0" applyFont="1" applyFill="1" applyBorder="1"/>
    <xf numFmtId="0" fontId="12" fillId="15" borderId="14" xfId="0" applyFont="1" applyFill="1" applyBorder="1" applyAlignment="1"/>
    <xf numFmtId="0" fontId="12" fillId="15" borderId="16" xfId="0" applyFont="1" applyFill="1" applyBorder="1" applyAlignment="1"/>
    <xf numFmtId="170" fontId="12" fillId="15" borderId="5" xfId="0" applyNumberFormat="1" applyFont="1" applyFill="1" applyBorder="1" applyAlignment="1">
      <alignment horizontal="right"/>
    </xf>
    <xf numFmtId="0" fontId="12" fillId="15" borderId="5" xfId="0" applyFont="1" applyFill="1" applyBorder="1"/>
    <xf numFmtId="168" fontId="29" fillId="15" borderId="6" xfId="0" applyNumberFormat="1" applyFont="1" applyFill="1" applyBorder="1" applyAlignment="1">
      <alignment horizontal="right"/>
    </xf>
    <xf numFmtId="0" fontId="4" fillId="0" borderId="35" xfId="0" applyFont="1" applyBorder="1" applyAlignment="1"/>
    <xf numFmtId="0" fontId="12" fillId="0" borderId="36" xfId="0" applyFont="1" applyBorder="1" applyAlignment="1">
      <alignment horizontal="center" vertical="top" wrapText="1"/>
    </xf>
    <xf numFmtId="0" fontId="14" fillId="0" borderId="8" xfId="0" applyFont="1" applyBorder="1"/>
    <xf numFmtId="0" fontId="14" fillId="0" borderId="14" xfId="0" applyFont="1" applyBorder="1"/>
    <xf numFmtId="0" fontId="12" fillId="0" borderId="37" xfId="0" applyFont="1" applyBorder="1" applyAlignment="1">
      <alignment vertical="top" wrapText="1"/>
    </xf>
    <xf numFmtId="168" fontId="14" fillId="0" borderId="8" xfId="0" applyNumberFormat="1" applyFont="1" applyBorder="1" applyAlignment="1"/>
    <xf numFmtId="168" fontId="14" fillId="0" borderId="8" xfId="0" applyNumberFormat="1" applyFont="1" applyBorder="1"/>
    <xf numFmtId="168" fontId="7" fillId="0" borderId="1" xfId="0" applyNumberFormat="1" applyFont="1" applyBorder="1"/>
    <xf numFmtId="0" fontId="16" fillId="0" borderId="0" xfId="7" applyFont="1" applyBorder="1" applyAlignment="1">
      <alignment horizontal="left" vertical="top"/>
    </xf>
    <xf numFmtId="0" fontId="15" fillId="0" borderId="0" xfId="7" applyFont="1" applyBorder="1" applyAlignment="1">
      <alignment horizontal="left" vertical="top"/>
    </xf>
    <xf numFmtId="0" fontId="12" fillId="0" borderId="18" xfId="7" applyFont="1" applyFill="1" applyBorder="1" applyAlignment="1">
      <alignment horizontal="center" wrapText="1"/>
    </xf>
    <xf numFmtId="168" fontId="7" fillId="0" borderId="1" xfId="0" applyNumberFormat="1" applyFont="1" applyBorder="1" applyAlignment="1">
      <alignment horizontal="right"/>
    </xf>
    <xf numFmtId="169" fontId="0" fillId="0" borderId="0" xfId="0" applyNumberFormat="1"/>
    <xf numFmtId="164" fontId="20" fillId="0" borderId="1" xfId="2" applyFont="1" applyBorder="1" applyAlignment="1">
      <alignment horizontal="center"/>
    </xf>
    <xf numFmtId="176" fontId="20" fillId="0" borderId="1" xfId="2" applyNumberFormat="1" applyFont="1" applyBorder="1"/>
    <xf numFmtId="176" fontId="0" fillId="0" borderId="1" xfId="0" applyNumberFormat="1" applyBorder="1"/>
    <xf numFmtId="0" fontId="0" fillId="0" borderId="4" xfId="0" applyBorder="1"/>
    <xf numFmtId="0" fontId="0" fillId="0" borderId="38" xfId="0" applyBorder="1"/>
    <xf numFmtId="176" fontId="20" fillId="0" borderId="39" xfId="2" applyNumberFormat="1" applyFont="1" applyBorder="1"/>
    <xf numFmtId="9" fontId="20" fillId="0" borderId="40" xfId="9" applyFont="1" applyBorder="1"/>
    <xf numFmtId="9" fontId="20" fillId="0" borderId="3" xfId="9" applyFont="1" applyBorder="1"/>
    <xf numFmtId="177" fontId="20" fillId="0" borderId="3" xfId="9" applyNumberFormat="1" applyFont="1" applyBorder="1"/>
    <xf numFmtId="0" fontId="0" fillId="0" borderId="2" xfId="0" applyBorder="1" applyAlignment="1">
      <alignment wrapText="1"/>
    </xf>
    <xf numFmtId="176" fontId="23" fillId="0" borderId="5" xfId="0" applyNumberFormat="1" applyFont="1" applyBorder="1"/>
    <xf numFmtId="0" fontId="0" fillId="0" borderId="0" xfId="0" applyBorder="1" applyAlignment="1">
      <alignment horizontal="center"/>
    </xf>
    <xf numFmtId="0" fontId="0" fillId="0" borderId="0" xfId="0" applyBorder="1" applyAlignment="1">
      <alignment horizontal="left" vertical="top" wrapText="1"/>
    </xf>
    <xf numFmtId="166" fontId="10" fillId="0" borderId="0" xfId="2" applyNumberFormat="1" applyFont="1" applyBorder="1" applyAlignment="1">
      <alignment horizontal="center"/>
    </xf>
    <xf numFmtId="170" fontId="30" fillId="0" borderId="0" xfId="0" applyNumberFormat="1" applyFont="1"/>
    <xf numFmtId="0" fontId="21" fillId="0" borderId="0" xfId="1"/>
    <xf numFmtId="0" fontId="14" fillId="0" borderId="17" xfId="0" applyFont="1" applyFill="1" applyBorder="1"/>
    <xf numFmtId="0" fontId="15" fillId="0" borderId="27" xfId="7" applyBorder="1" applyAlignment="1">
      <alignment vertical="top" wrapText="1"/>
    </xf>
    <xf numFmtId="0" fontId="15" fillId="0" borderId="0" xfId="7" applyFont="1" applyBorder="1" applyAlignment="1">
      <alignment vertical="top"/>
    </xf>
    <xf numFmtId="0" fontId="15" fillId="0" borderId="0" xfId="3" applyNumberFormat="1" applyFont="1" applyBorder="1" applyAlignment="1">
      <alignment horizontal="right" vertical="top" wrapText="1"/>
    </xf>
    <xf numFmtId="168" fontId="14" fillId="16" borderId="3" xfId="0" applyNumberFormat="1" applyFont="1" applyFill="1" applyBorder="1" applyAlignment="1">
      <alignment horizontal="right"/>
    </xf>
    <xf numFmtId="2" fontId="7" fillId="14" borderId="1" xfId="0" applyNumberFormat="1" applyFont="1" applyFill="1" applyBorder="1" applyAlignment="1"/>
    <xf numFmtId="2" fontId="8" fillId="0" borderId="1" xfId="0" applyNumberFormat="1" applyFont="1" applyBorder="1" applyAlignment="1">
      <alignment horizontal="right"/>
    </xf>
    <xf numFmtId="168" fontId="14" fillId="14" borderId="3" xfId="0" applyNumberFormat="1" applyFont="1" applyFill="1" applyBorder="1" applyAlignment="1">
      <alignment horizontal="right"/>
    </xf>
    <xf numFmtId="168" fontId="14" fillId="17" borderId="41" xfId="0" applyNumberFormat="1" applyFont="1" applyFill="1" applyBorder="1" applyAlignment="1">
      <alignment horizontal="right"/>
    </xf>
    <xf numFmtId="168" fontId="14" fillId="17" borderId="3" xfId="0" applyNumberFormat="1" applyFont="1" applyFill="1" applyBorder="1" applyAlignment="1">
      <alignment horizontal="right"/>
    </xf>
    <xf numFmtId="170" fontId="0" fillId="0" borderId="0" xfId="0" applyNumberFormat="1"/>
    <xf numFmtId="0" fontId="5" fillId="18" borderId="2" xfId="0" applyFont="1" applyFill="1" applyBorder="1"/>
    <xf numFmtId="167" fontId="0" fillId="0" borderId="0" xfId="0" applyNumberFormat="1" applyAlignment="1">
      <alignment horizontal="center"/>
    </xf>
    <xf numFmtId="167" fontId="0" fillId="0" borderId="0" xfId="0" applyNumberFormat="1" applyAlignment="1">
      <alignment horizontal="center" vertical="top" wrapText="1"/>
    </xf>
    <xf numFmtId="166" fontId="3" fillId="0" borderId="0" xfId="2" applyNumberFormat="1" applyFont="1" applyAlignment="1">
      <alignment horizontal="center"/>
    </xf>
    <xf numFmtId="164" fontId="20" fillId="0" borderId="1" xfId="2" applyFont="1" applyBorder="1" applyAlignment="1">
      <alignment horizontal="center" wrapText="1"/>
    </xf>
    <xf numFmtId="164" fontId="20" fillId="0" borderId="1" xfId="2" applyFont="1" applyBorder="1" applyAlignment="1">
      <alignment horizontal="center"/>
    </xf>
    <xf numFmtId="164" fontId="20" fillId="0" borderId="1" xfId="2" applyFont="1" applyBorder="1" applyAlignment="1">
      <alignment horizontal="center" vertical="top"/>
    </xf>
    <xf numFmtId="0" fontId="7" fillId="0" borderId="10" xfId="0" applyFont="1" applyBorder="1" applyAlignment="1">
      <alignment horizontal="center" vertical="top" wrapText="1"/>
    </xf>
    <xf numFmtId="0" fontId="7" fillId="0" borderId="10" xfId="0" applyFont="1" applyBorder="1" applyAlignment="1">
      <alignment horizontal="center" vertical="top"/>
    </xf>
    <xf numFmtId="168" fontId="7" fillId="0" borderId="41" xfId="0" applyNumberFormat="1" applyFont="1" applyBorder="1" applyAlignment="1">
      <alignment horizontal="center" vertical="top" wrapText="1"/>
    </xf>
    <xf numFmtId="0" fontId="31" fillId="0" borderId="0" xfId="0" applyFont="1"/>
    <xf numFmtId="0" fontId="32" fillId="0" borderId="0" xfId="0" applyFont="1" applyAlignment="1">
      <alignment horizontal="justify" vertical="center" wrapText="1"/>
    </xf>
    <xf numFmtId="0" fontId="31" fillId="0" borderId="0" xfId="0" applyFont="1" applyAlignment="1">
      <alignment horizontal="center" vertical="center" wrapText="1"/>
    </xf>
    <xf numFmtId="0" fontId="32" fillId="0" borderId="0" xfId="0" applyFont="1" applyAlignment="1">
      <alignment vertical="center" wrapText="1"/>
    </xf>
    <xf numFmtId="0" fontId="31" fillId="0" borderId="0" xfId="0" applyFont="1" applyAlignment="1">
      <alignment vertical="center" wrapText="1"/>
    </xf>
    <xf numFmtId="0" fontId="23" fillId="0" borderId="1" xfId="0" applyFont="1" applyBorder="1" applyAlignment="1">
      <alignment horizontal="center"/>
    </xf>
    <xf numFmtId="164" fontId="20" fillId="0" borderId="1" xfId="2" applyFont="1" applyBorder="1" applyAlignment="1">
      <alignment horizontal="center" wrapText="1"/>
    </xf>
    <xf numFmtId="164" fontId="20" fillId="0" borderId="1" xfId="2" applyFont="1" applyBorder="1" applyAlignment="1">
      <alignment horizontal="center" vertical="top"/>
    </xf>
    <xf numFmtId="166" fontId="0" fillId="0" borderId="0" xfId="0" applyNumberFormat="1"/>
    <xf numFmtId="0" fontId="14" fillId="0" borderId="12" xfId="0" applyFont="1" applyBorder="1" applyAlignment="1">
      <alignment horizontal="left" vertical="top" wrapText="1"/>
    </xf>
    <xf numFmtId="0" fontId="14" fillId="0" borderId="12" xfId="0" applyFont="1" applyBorder="1"/>
    <xf numFmtId="0" fontId="14" fillId="0" borderId="42" xfId="0" applyFont="1" applyBorder="1"/>
    <xf numFmtId="168" fontId="14" fillId="0" borderId="42" xfId="0" applyNumberFormat="1" applyFont="1" applyBorder="1"/>
    <xf numFmtId="168" fontId="14" fillId="0" borderId="43" xfId="0" applyNumberFormat="1" applyFont="1" applyBorder="1" applyAlignment="1"/>
    <xf numFmtId="0" fontId="13" fillId="0" borderId="11" xfId="0" applyFont="1" applyBorder="1" applyAlignment="1">
      <alignment vertical="top"/>
    </xf>
    <xf numFmtId="0" fontId="5" fillId="19" borderId="2" xfId="0" applyFont="1" applyFill="1" applyBorder="1"/>
    <xf numFmtId="168" fontId="33" fillId="0" borderId="0" xfId="0" applyNumberFormat="1" applyFont="1"/>
    <xf numFmtId="164" fontId="20" fillId="0" borderId="1" xfId="2" applyFont="1" applyBorder="1" applyAlignment="1">
      <alignment horizontal="center" wrapText="1"/>
    </xf>
    <xf numFmtId="164" fontId="20" fillId="0" borderId="1" xfId="2" applyFont="1" applyBorder="1" applyAlignment="1">
      <alignment horizontal="center"/>
    </xf>
    <xf numFmtId="164" fontId="20" fillId="0" borderId="1" xfId="2" applyFont="1" applyBorder="1" applyAlignment="1">
      <alignment horizontal="center" vertical="top"/>
    </xf>
    <xf numFmtId="168" fontId="12" fillId="0" borderId="14" xfId="0" applyNumberFormat="1" applyFont="1" applyBorder="1" applyAlignment="1"/>
    <xf numFmtId="168" fontId="12" fillId="0" borderId="15" xfId="0" applyNumberFormat="1" applyFont="1" applyBorder="1" applyAlignment="1"/>
    <xf numFmtId="178" fontId="0" fillId="0" borderId="0" xfId="0" applyNumberFormat="1"/>
    <xf numFmtId="164" fontId="20" fillId="0" borderId="1" xfId="2" applyFont="1" applyBorder="1" applyAlignment="1">
      <alignment horizontal="center"/>
    </xf>
    <xf numFmtId="164" fontId="20" fillId="0" borderId="1" xfId="2" applyFont="1" applyBorder="1" applyAlignment="1">
      <alignment horizontal="center" vertical="top"/>
    </xf>
    <xf numFmtId="164" fontId="20" fillId="0" borderId="1" xfId="2" applyFont="1" applyBorder="1" applyAlignment="1">
      <alignment horizontal="center" wrapText="1"/>
    </xf>
    <xf numFmtId="0" fontId="15" fillId="0" borderId="38" xfId="7" applyBorder="1" applyAlignment="1">
      <alignment wrapText="1"/>
    </xf>
    <xf numFmtId="0" fontId="16" fillId="0" borderId="39" xfId="7" applyFont="1" applyBorder="1" applyAlignment="1">
      <alignment horizontal="center" vertical="top" wrapText="1"/>
    </xf>
    <xf numFmtId="0" fontId="15" fillId="0" borderId="2" xfId="7" applyBorder="1" applyAlignment="1">
      <alignment wrapText="1"/>
    </xf>
    <xf numFmtId="0" fontId="15" fillId="0" borderId="1" xfId="5" applyNumberFormat="1" applyFont="1" applyBorder="1" applyAlignment="1">
      <alignment vertical="top" wrapText="1"/>
    </xf>
    <xf numFmtId="168" fontId="15" fillId="0" borderId="1" xfId="0" applyNumberFormat="1" applyFont="1" applyBorder="1" applyAlignment="1">
      <alignment horizontal="right" vertical="top"/>
    </xf>
    <xf numFmtId="0" fontId="15" fillId="0" borderId="2" xfId="7" applyBorder="1" applyAlignment="1">
      <alignment vertical="top" wrapText="1"/>
    </xf>
    <xf numFmtId="0" fontId="16" fillId="0" borderId="2" xfId="7" applyFont="1" applyBorder="1" applyAlignment="1">
      <alignment vertical="center" wrapText="1"/>
    </xf>
    <xf numFmtId="168" fontId="22" fillId="0" borderId="0" xfId="0" applyNumberFormat="1" applyFont="1"/>
    <xf numFmtId="164" fontId="20" fillId="0" borderId="1" xfId="2" applyFont="1" applyFill="1" applyBorder="1" applyAlignment="1">
      <alignment horizontal="center"/>
    </xf>
    <xf numFmtId="178" fontId="22" fillId="0" borderId="0" xfId="0" applyNumberFormat="1" applyFont="1"/>
    <xf numFmtId="0" fontId="16" fillId="0" borderId="6" xfId="7" applyFont="1" applyFill="1" applyBorder="1" applyAlignment="1">
      <alignment vertical="top" wrapText="1"/>
    </xf>
    <xf numFmtId="164" fontId="20" fillId="0" borderId="0" xfId="2" applyFont="1"/>
    <xf numFmtId="179" fontId="16" fillId="0" borderId="0" xfId="7" applyNumberFormat="1" applyFont="1" applyBorder="1" applyAlignment="1">
      <alignment wrapText="1"/>
    </xf>
    <xf numFmtId="0" fontId="15" fillId="0" borderId="3" xfId="7" applyFont="1" applyFill="1" applyBorder="1" applyAlignment="1">
      <alignment vertical="top" wrapText="1"/>
    </xf>
    <xf numFmtId="164" fontId="20" fillId="0" borderId="1" xfId="2" applyFont="1" applyFill="1" applyBorder="1" applyAlignment="1">
      <alignment horizontal="center"/>
    </xf>
    <xf numFmtId="0" fontId="15" fillId="0" borderId="4" xfId="7" applyBorder="1" applyAlignment="1">
      <alignment vertical="top" wrapText="1"/>
    </xf>
    <xf numFmtId="168" fontId="15" fillId="0" borderId="5" xfId="0" applyNumberFormat="1" applyFont="1" applyBorder="1" applyAlignment="1">
      <alignment horizontal="right" vertical="top"/>
    </xf>
    <xf numFmtId="0" fontId="23" fillId="0" borderId="1" xfId="0" applyFont="1" applyBorder="1" applyAlignment="1">
      <alignment horizontal="center"/>
    </xf>
    <xf numFmtId="0" fontId="23" fillId="0" borderId="38" xfId="0" applyFont="1" applyBorder="1" applyAlignment="1">
      <alignment horizontal="center" wrapText="1"/>
    </xf>
    <xf numFmtId="0" fontId="23" fillId="0" borderId="39" xfId="0" applyFont="1" applyBorder="1" applyAlignment="1">
      <alignment horizontal="center" wrapText="1"/>
    </xf>
    <xf numFmtId="0" fontId="23" fillId="0" borderId="40" xfId="0" applyFont="1" applyBorder="1" applyAlignment="1">
      <alignment horizontal="center" wrapText="1"/>
    </xf>
    <xf numFmtId="173" fontId="15" fillId="0" borderId="0" xfId="3" applyNumberFormat="1" applyFont="1" applyBorder="1" applyAlignment="1">
      <alignment horizontal="center" vertical="center"/>
    </xf>
    <xf numFmtId="0" fontId="15" fillId="0" borderId="0" xfId="7" applyFont="1" applyBorder="1" applyAlignment="1">
      <alignment horizontal="center"/>
    </xf>
    <xf numFmtId="0" fontId="15" fillId="0" borderId="0" xfId="7" applyFont="1" applyBorder="1" applyAlignment="1">
      <alignment horizontal="center" vertical="top"/>
    </xf>
    <xf numFmtId="0" fontId="15" fillId="0" borderId="0" xfId="3" applyNumberFormat="1" applyFont="1" applyBorder="1" applyAlignment="1">
      <alignment horizontal="center" vertical="top" wrapText="1"/>
    </xf>
    <xf numFmtId="0" fontId="15" fillId="0" borderId="0" xfId="7" applyFont="1" applyFill="1" applyBorder="1" applyAlignment="1">
      <alignment horizontal="center"/>
    </xf>
    <xf numFmtId="0" fontId="15" fillId="0" borderId="0" xfId="7" applyBorder="1" applyAlignment="1">
      <alignment horizontal="center" vertical="top" wrapText="1"/>
    </xf>
    <xf numFmtId="0" fontId="15" fillId="0" borderId="0" xfId="7" applyFont="1" applyFill="1" applyBorder="1" applyAlignment="1">
      <alignment horizontal="left" vertical="top" wrapText="1"/>
    </xf>
    <xf numFmtId="0" fontId="15" fillId="0" borderId="0" xfId="7" applyFont="1" applyFill="1" applyBorder="1" applyAlignment="1">
      <alignment horizontal="center" vertical="top" wrapText="1"/>
    </xf>
    <xf numFmtId="0" fontId="7" fillId="0" borderId="8" xfId="7" applyFont="1" applyBorder="1" applyAlignment="1">
      <alignment horizontal="center" vertical="top" wrapText="1"/>
    </xf>
    <xf numFmtId="0" fontId="7" fillId="0" borderId="19" xfId="7" applyFont="1" applyBorder="1" applyAlignment="1">
      <alignment horizontal="center" vertical="top" wrapText="1"/>
    </xf>
    <xf numFmtId="0" fontId="7" fillId="0" borderId="9" xfId="7" applyFont="1" applyBorder="1" applyAlignment="1">
      <alignment horizontal="center" vertical="top" wrapText="1"/>
    </xf>
    <xf numFmtId="0" fontId="15" fillId="0" borderId="43" xfId="7" applyBorder="1" applyAlignment="1">
      <alignment horizontal="center" vertical="top" wrapText="1"/>
    </xf>
    <xf numFmtId="0" fontId="15" fillId="0" borderId="8" xfId="7" applyFont="1" applyBorder="1" applyAlignment="1">
      <alignment horizontal="center" vertical="top" wrapText="1"/>
    </xf>
    <xf numFmtId="0" fontId="15" fillId="0" borderId="9" xfId="7" applyFont="1" applyBorder="1" applyAlignment="1">
      <alignment horizontal="center" vertical="top" wrapText="1"/>
    </xf>
    <xf numFmtId="179" fontId="16" fillId="0" borderId="1" xfId="5" applyNumberFormat="1" applyFont="1" applyBorder="1" applyAlignment="1">
      <alignment horizontal="right" vertical="top" wrapText="1"/>
    </xf>
    <xf numFmtId="179" fontId="16" fillId="0" borderId="3" xfId="5" applyNumberFormat="1" applyFont="1" applyBorder="1" applyAlignment="1">
      <alignment horizontal="right" vertical="top" wrapText="1"/>
    </xf>
    <xf numFmtId="0" fontId="15" fillId="0" borderId="1" xfId="7" applyFont="1" applyBorder="1" applyAlignment="1">
      <alignment horizontal="left" vertical="top" wrapText="1"/>
    </xf>
    <xf numFmtId="0" fontId="15" fillId="0" borderId="1" xfId="7" applyFont="1" applyBorder="1" applyAlignment="1">
      <alignment horizontal="center" vertical="top" wrapText="1"/>
    </xf>
    <xf numFmtId="0" fontId="12" fillId="0" borderId="24" xfId="7" applyFont="1" applyFill="1" applyBorder="1" applyAlignment="1">
      <alignment horizontal="center" wrapText="1"/>
    </xf>
    <xf numFmtId="0" fontId="12" fillId="0" borderId="25" xfId="7" applyFont="1" applyFill="1" applyBorder="1" applyAlignment="1">
      <alignment horizontal="center" wrapText="1"/>
    </xf>
    <xf numFmtId="0" fontId="12" fillId="0" borderId="26" xfId="7" applyFont="1" applyFill="1" applyBorder="1" applyAlignment="1">
      <alignment horizontal="center" wrapText="1"/>
    </xf>
    <xf numFmtId="0" fontId="15" fillId="0" borderId="30" xfId="7" applyBorder="1" applyAlignment="1">
      <alignment horizontal="left" vertical="top" wrapText="1"/>
    </xf>
    <xf numFmtId="0" fontId="15" fillId="0" borderId="2" xfId="7" applyFont="1" applyFill="1" applyBorder="1" applyAlignment="1">
      <alignment vertical="top" wrapText="1"/>
    </xf>
    <xf numFmtId="0" fontId="15" fillId="0" borderId="1" xfId="7" applyFont="1" applyFill="1" applyBorder="1" applyAlignment="1">
      <alignment vertical="top" wrapText="1"/>
    </xf>
    <xf numFmtId="0" fontId="15" fillId="0" borderId="3" xfId="7" applyFont="1" applyFill="1" applyBorder="1" applyAlignment="1">
      <alignment vertical="top" wrapText="1"/>
    </xf>
    <xf numFmtId="0" fontId="15" fillId="0" borderId="45" xfId="7" applyFont="1" applyFill="1" applyBorder="1" applyAlignment="1">
      <alignment horizontal="center" vertical="top" wrapText="1"/>
    </xf>
    <xf numFmtId="0" fontId="15" fillId="0" borderId="19" xfId="7" applyFont="1" applyFill="1" applyBorder="1" applyAlignment="1">
      <alignment horizontal="center" vertical="top" wrapText="1"/>
    </xf>
    <xf numFmtId="0" fontId="15" fillId="0" borderId="9" xfId="7" applyFont="1" applyFill="1" applyBorder="1" applyAlignment="1">
      <alignment horizontal="center" vertical="top" wrapText="1"/>
    </xf>
    <xf numFmtId="0" fontId="15" fillId="0" borderId="8" xfId="7" applyFont="1" applyFill="1" applyBorder="1" applyAlignment="1">
      <alignment horizontal="center" vertical="top" wrapText="1"/>
    </xf>
    <xf numFmtId="0" fontId="16" fillId="0" borderId="44" xfId="7" applyFont="1" applyBorder="1" applyAlignment="1">
      <alignment horizontal="center" wrapText="1"/>
    </xf>
    <xf numFmtId="0" fontId="16" fillId="0" borderId="35" xfId="7" applyFont="1" applyBorder="1" applyAlignment="1">
      <alignment horizontal="center" wrapText="1"/>
    </xf>
    <xf numFmtId="0" fontId="8" fillId="0" borderId="44" xfId="7" applyFont="1" applyFill="1" applyBorder="1" applyAlignment="1">
      <alignment horizontal="center" vertical="top" wrapText="1"/>
    </xf>
    <xf numFmtId="0" fontId="12" fillId="0" borderId="35" xfId="7" applyFont="1" applyFill="1" applyBorder="1" applyAlignment="1">
      <alignment horizontal="center" vertical="top" wrapText="1"/>
    </xf>
    <xf numFmtId="0" fontId="16" fillId="0" borderId="0" xfId="7" applyFont="1" applyBorder="1" applyAlignment="1">
      <alignment horizontal="left" wrapText="1"/>
    </xf>
    <xf numFmtId="0" fontId="16" fillId="0" borderId="1" xfId="7" applyFont="1" applyFill="1" applyBorder="1" applyAlignment="1">
      <alignment vertical="top" wrapText="1"/>
    </xf>
    <xf numFmtId="0" fontId="16" fillId="0" borderId="3" xfId="7" applyFont="1" applyFill="1" applyBorder="1" applyAlignment="1">
      <alignment vertical="top" wrapText="1"/>
    </xf>
    <xf numFmtId="0" fontId="12" fillId="0" borderId="44" xfId="7" applyFont="1" applyFill="1" applyBorder="1" applyAlignment="1">
      <alignment horizontal="center" wrapText="1"/>
    </xf>
    <xf numFmtId="0" fontId="12" fillId="0" borderId="35" xfId="7" applyFont="1" applyFill="1" applyBorder="1" applyAlignment="1">
      <alignment horizontal="center" wrapText="1"/>
    </xf>
    <xf numFmtId="0" fontId="12" fillId="0" borderId="18" xfId="7" applyFont="1" applyFill="1" applyBorder="1" applyAlignment="1">
      <alignment horizontal="center" wrapText="1"/>
    </xf>
    <xf numFmtId="0" fontId="16" fillId="0" borderId="39" xfId="7" applyFont="1" applyBorder="1" applyAlignment="1">
      <alignment horizontal="center" vertical="top" wrapText="1"/>
    </xf>
    <xf numFmtId="0" fontId="16" fillId="0" borderId="40" xfId="7" applyFont="1" applyBorder="1" applyAlignment="1">
      <alignment horizontal="center" vertical="top" wrapText="1"/>
    </xf>
    <xf numFmtId="0" fontId="15" fillId="0" borderId="44" xfId="7" applyBorder="1" applyAlignment="1">
      <alignment horizontal="center" vertical="top" wrapText="1"/>
    </xf>
    <xf numFmtId="0" fontId="15" fillId="0" borderId="35" xfId="7" applyBorder="1" applyAlignment="1">
      <alignment horizontal="center" vertical="top" wrapText="1"/>
    </xf>
    <xf numFmtId="0" fontId="15" fillId="0" borderId="18" xfId="7" applyBorder="1" applyAlignment="1">
      <alignment horizontal="center" vertical="top" wrapText="1"/>
    </xf>
    <xf numFmtId="0" fontId="16" fillId="0" borderId="24" xfId="6" applyFont="1" applyFill="1" applyBorder="1" applyAlignment="1">
      <alignment horizontal="center"/>
    </xf>
    <xf numFmtId="0" fontId="16" fillId="0" borderId="25" xfId="6" applyFont="1" applyFill="1" applyBorder="1" applyAlignment="1">
      <alignment horizontal="center"/>
    </xf>
    <xf numFmtId="0" fontId="16" fillId="0" borderId="26" xfId="6" applyFont="1" applyFill="1" applyBorder="1" applyAlignment="1">
      <alignment horizontal="center"/>
    </xf>
    <xf numFmtId="0" fontId="17" fillId="0" borderId="27" xfId="6" applyFont="1" applyFill="1" applyBorder="1" applyAlignment="1">
      <alignment horizontal="center"/>
    </xf>
    <xf numFmtId="0" fontId="17" fillId="0" borderId="0" xfId="6" applyFont="1" applyFill="1" applyBorder="1" applyAlignment="1">
      <alignment horizontal="center"/>
    </xf>
    <xf numFmtId="0" fontId="17" fillId="0" borderId="28" xfId="6" applyFont="1" applyFill="1" applyBorder="1" applyAlignment="1">
      <alignment horizontal="center"/>
    </xf>
    <xf numFmtId="0" fontId="16" fillId="0" borderId="29" xfId="6" applyFont="1" applyFill="1" applyBorder="1" applyAlignment="1">
      <alignment horizontal="center"/>
    </xf>
    <xf numFmtId="0" fontId="16" fillId="0" borderId="30" xfId="6" applyFont="1" applyFill="1" applyBorder="1" applyAlignment="1">
      <alignment horizontal="center"/>
    </xf>
    <xf numFmtId="0" fontId="16" fillId="0" borderId="31" xfId="6" applyFont="1" applyFill="1" applyBorder="1" applyAlignment="1">
      <alignment horizontal="center"/>
    </xf>
    <xf numFmtId="0" fontId="13" fillId="0" borderId="24" xfId="8" applyFont="1" applyBorder="1" applyAlignment="1">
      <alignment horizontal="center" readingOrder="1"/>
    </xf>
    <xf numFmtId="0" fontId="13" fillId="0" borderId="25" xfId="8" applyFont="1" applyBorder="1" applyAlignment="1">
      <alignment horizontal="center" readingOrder="1"/>
    </xf>
    <xf numFmtId="0" fontId="13" fillId="0" borderId="26" xfId="8" applyFont="1" applyBorder="1" applyAlignment="1">
      <alignment horizontal="center" readingOrder="1"/>
    </xf>
    <xf numFmtId="173" fontId="16" fillId="0" borderId="0" xfId="3" applyNumberFormat="1" applyFont="1" applyFill="1" applyBorder="1" applyAlignment="1">
      <alignment horizontal="center"/>
    </xf>
    <xf numFmtId="0" fontId="15" fillId="0" borderId="25" xfId="7" applyFont="1" applyBorder="1" applyAlignment="1">
      <alignment horizontal="center"/>
    </xf>
    <xf numFmtId="0" fontId="15" fillId="0" borderId="25" xfId="7" applyFont="1" applyBorder="1" applyAlignment="1">
      <alignment horizontal="center" wrapText="1"/>
    </xf>
    <xf numFmtId="0" fontId="16" fillId="0" borderId="24" xfId="7" applyFont="1" applyFill="1" applyBorder="1" applyAlignment="1">
      <alignment horizontal="center" vertical="top" wrapText="1"/>
    </xf>
    <xf numFmtId="0" fontId="16" fillId="0" borderId="25" xfId="7" applyFont="1" applyFill="1" applyBorder="1" applyAlignment="1">
      <alignment horizontal="center" vertical="top" wrapText="1"/>
    </xf>
    <xf numFmtId="0" fontId="16" fillId="0" borderId="26" xfId="7" applyFont="1" applyFill="1" applyBorder="1" applyAlignment="1">
      <alignment horizontal="center" vertical="top" wrapText="1"/>
    </xf>
    <xf numFmtId="0" fontId="15" fillId="0" borderId="38" xfId="7" applyFont="1" applyFill="1" applyBorder="1" applyAlignment="1">
      <alignment vertical="top" wrapText="1"/>
    </xf>
    <xf numFmtId="0" fontId="16" fillId="0" borderId="39" xfId="7" applyFont="1" applyFill="1" applyBorder="1" applyAlignment="1">
      <alignment vertical="top" wrapText="1"/>
    </xf>
    <xf numFmtId="0" fontId="16" fillId="0" borderId="40" xfId="7" applyFont="1" applyFill="1" applyBorder="1" applyAlignment="1">
      <alignment vertical="top" wrapText="1"/>
    </xf>
    <xf numFmtId="0" fontId="16" fillId="0" borderId="24" xfId="7" applyFont="1" applyBorder="1" applyAlignment="1">
      <alignment horizontal="center" wrapText="1"/>
    </xf>
    <xf numFmtId="0" fontId="16" fillId="0" borderId="25" xfId="7" applyFont="1" applyBorder="1" applyAlignment="1">
      <alignment horizontal="center" wrapText="1"/>
    </xf>
    <xf numFmtId="0" fontId="16" fillId="0" borderId="27" xfId="7" applyFont="1" applyBorder="1" applyAlignment="1">
      <alignment horizontal="center" wrapText="1"/>
    </xf>
    <xf numFmtId="0" fontId="16" fillId="0" borderId="0" xfId="7" applyFont="1" applyBorder="1" applyAlignment="1">
      <alignment horizontal="center" wrapText="1"/>
    </xf>
    <xf numFmtId="0" fontId="16" fillId="0" borderId="29" xfId="7" applyFont="1" applyBorder="1" applyAlignment="1">
      <alignment horizontal="center" wrapText="1"/>
    </xf>
    <xf numFmtId="0" fontId="16" fillId="0" borderId="30" xfId="7" applyFont="1" applyBorder="1" applyAlignment="1">
      <alignment horizontal="center" wrapText="1"/>
    </xf>
    <xf numFmtId="0" fontId="15" fillId="0" borderId="4" xfId="7" applyFont="1" applyFill="1" applyBorder="1" applyAlignment="1">
      <alignment horizontal="left" vertical="top" wrapText="1"/>
    </xf>
    <xf numFmtId="0" fontId="15" fillId="0" borderId="5" xfId="7" applyFont="1" applyFill="1" applyBorder="1" applyAlignment="1">
      <alignment horizontal="left" vertical="top" wrapText="1"/>
    </xf>
    <xf numFmtId="1" fontId="15" fillId="0" borderId="8" xfId="7" applyNumberFormat="1" applyFont="1" applyBorder="1" applyAlignment="1">
      <alignment horizontal="center" vertical="top" wrapText="1"/>
    </xf>
    <xf numFmtId="0" fontId="8" fillId="0" borderId="44" xfId="7" applyFont="1" applyFill="1" applyBorder="1" applyAlignment="1">
      <alignment horizontal="center" wrapText="1"/>
    </xf>
    <xf numFmtId="0" fontId="15" fillId="0" borderId="24" xfId="7" applyBorder="1" applyAlignment="1">
      <alignment horizontal="center" wrapText="1"/>
    </xf>
    <xf numFmtId="0" fontId="15" fillId="0" borderId="25" xfId="7" applyBorder="1" applyAlignment="1">
      <alignment horizontal="center" wrapText="1"/>
    </xf>
    <xf numFmtId="0" fontId="16" fillId="0" borderId="44" xfId="7" applyFont="1" applyBorder="1" applyAlignment="1">
      <alignment horizontal="center" vertical="top" wrapText="1"/>
    </xf>
    <xf numFmtId="0" fontId="16" fillId="0" borderId="35" xfId="7" applyFont="1" applyBorder="1" applyAlignment="1">
      <alignment horizontal="center" vertical="top" wrapText="1"/>
    </xf>
    <xf numFmtId="0" fontId="16" fillId="0" borderId="5" xfId="7" applyFont="1" applyBorder="1" applyAlignment="1">
      <alignment horizontal="left" vertical="top" wrapText="1"/>
    </xf>
    <xf numFmtId="0" fontId="15" fillId="0" borderId="5" xfId="7" applyFont="1" applyBorder="1" applyAlignment="1">
      <alignment horizontal="center" vertical="top" wrapText="1"/>
    </xf>
    <xf numFmtId="0" fontId="15" fillId="0" borderId="14" xfId="7" applyFont="1" applyBorder="1" applyAlignment="1">
      <alignment horizontal="center" vertical="top" wrapText="1"/>
    </xf>
    <xf numFmtId="0" fontId="15" fillId="0" borderId="16" xfId="7" applyFont="1" applyBorder="1" applyAlignment="1">
      <alignment horizontal="center" vertical="top" wrapText="1"/>
    </xf>
    <xf numFmtId="179" fontId="16" fillId="0" borderId="5" xfId="5" applyNumberFormat="1" applyFont="1" applyBorder="1" applyAlignment="1">
      <alignment horizontal="right" vertical="top" wrapText="1"/>
    </xf>
    <xf numFmtId="179" fontId="16" fillId="0" borderId="6" xfId="5" applyNumberFormat="1" applyFont="1" applyBorder="1" applyAlignment="1">
      <alignment horizontal="right" vertical="top" wrapText="1"/>
    </xf>
    <xf numFmtId="0" fontId="16" fillId="0" borderId="1" xfId="7" applyFont="1" applyBorder="1" applyAlignment="1">
      <alignment horizontal="left" vertical="top" wrapText="1"/>
    </xf>
    <xf numFmtId="174" fontId="16" fillId="0" borderId="1" xfId="3" applyNumberFormat="1" applyFont="1" applyBorder="1" applyAlignment="1">
      <alignment horizontal="right" vertical="top" wrapText="1"/>
    </xf>
    <xf numFmtId="174" fontId="16" fillId="0" borderId="3" xfId="3" applyNumberFormat="1" applyFont="1" applyBorder="1" applyAlignment="1">
      <alignment horizontal="right" vertical="top" wrapText="1"/>
    </xf>
    <xf numFmtId="0" fontId="7" fillId="0" borderId="1" xfId="0" applyFont="1" applyBorder="1"/>
    <xf numFmtId="0" fontId="4"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7" fillId="12" borderId="1" xfId="0" applyFont="1" applyFill="1" applyBorder="1"/>
    <xf numFmtId="0" fontId="7" fillId="12" borderId="3" xfId="0" applyFont="1" applyFill="1" applyBorder="1"/>
    <xf numFmtId="0" fontId="4" fillId="0" borderId="44" xfId="0" applyFont="1" applyBorder="1" applyAlignment="1">
      <alignment horizontal="center"/>
    </xf>
    <xf numFmtId="0" fontId="4" fillId="0" borderId="35" xfId="0" applyFont="1" applyBorder="1" applyAlignment="1">
      <alignment horizontal="center"/>
    </xf>
    <xf numFmtId="0" fontId="7" fillId="0" borderId="10" xfId="0" applyFont="1" applyBorder="1" applyAlignment="1">
      <alignment horizontal="center" vertical="top" wrapText="1"/>
    </xf>
    <xf numFmtId="0" fontId="7" fillId="0" borderId="1" xfId="0" applyFont="1" applyBorder="1" applyAlignment="1">
      <alignment horizontal="center" vertical="top" wrapText="1"/>
    </xf>
    <xf numFmtId="0" fontId="7" fillId="4" borderId="1" xfId="0" applyFont="1" applyFill="1" applyBorder="1"/>
    <xf numFmtId="0" fontId="7" fillId="4" borderId="3" xfId="0" applyFont="1" applyFill="1" applyBorder="1"/>
    <xf numFmtId="0" fontId="7" fillId="18" borderId="1" xfId="0" applyFont="1" applyFill="1" applyBorder="1"/>
    <xf numFmtId="0" fontId="7" fillId="18" borderId="3" xfId="0" applyFont="1" applyFill="1" applyBorder="1"/>
    <xf numFmtId="0" fontId="7" fillId="0" borderId="5" xfId="0" applyFont="1" applyBorder="1"/>
    <xf numFmtId="0" fontId="7" fillId="11" borderId="1" xfId="0" applyFont="1" applyFill="1" applyBorder="1"/>
    <xf numFmtId="0" fontId="7" fillId="11" borderId="3" xfId="0" applyFont="1" applyFill="1" applyBorder="1"/>
    <xf numFmtId="0" fontId="7" fillId="0" borderId="10" xfId="0" applyFont="1" applyBorder="1" applyAlignment="1">
      <alignment horizontal="center" vertical="top"/>
    </xf>
    <xf numFmtId="0" fontId="7" fillId="0" borderId="1" xfId="0" applyFont="1" applyBorder="1" applyAlignment="1">
      <alignment horizontal="center" vertical="top"/>
    </xf>
    <xf numFmtId="168" fontId="7" fillId="0" borderId="41" xfId="0" applyNumberFormat="1" applyFont="1" applyBorder="1" applyAlignment="1">
      <alignment horizontal="center" vertical="top" wrapText="1"/>
    </xf>
    <xf numFmtId="168" fontId="7" fillId="0" borderId="3" xfId="0" applyNumberFormat="1" applyFont="1" applyBorder="1" applyAlignment="1">
      <alignment horizontal="center" vertical="top" wrapText="1"/>
    </xf>
    <xf numFmtId="0" fontId="7" fillId="6" borderId="8" xfId="0" applyFont="1" applyFill="1" applyBorder="1" applyAlignment="1">
      <alignment horizontal="center"/>
    </xf>
    <xf numFmtId="0" fontId="7" fillId="6" borderId="9" xfId="0" applyFont="1" applyFill="1" applyBorder="1" applyAlignment="1">
      <alignment horizontal="center"/>
    </xf>
    <xf numFmtId="0" fontId="7" fillId="6" borderId="1" xfId="0" applyFont="1" applyFill="1" applyBorder="1"/>
    <xf numFmtId="0" fontId="7" fillId="6" borderId="3" xfId="0" applyFont="1" applyFill="1" applyBorder="1"/>
    <xf numFmtId="0" fontId="7" fillId="9" borderId="1" xfId="0" applyFont="1" applyFill="1" applyBorder="1"/>
    <xf numFmtId="0" fontId="7" fillId="9" borderId="3" xfId="0" applyFont="1" applyFill="1" applyBorder="1"/>
    <xf numFmtId="0" fontId="7" fillId="7" borderId="1" xfId="0" applyFont="1" applyFill="1" applyBorder="1"/>
    <xf numFmtId="0" fontId="7" fillId="7" borderId="3" xfId="0" applyFont="1" applyFill="1" applyBorder="1"/>
    <xf numFmtId="0" fontId="4" fillId="0" borderId="44" xfId="0" applyFont="1" applyBorder="1" applyAlignment="1">
      <alignment horizontal="right"/>
    </xf>
    <xf numFmtId="0" fontId="4" fillId="0" borderId="35" xfId="0" applyFont="1" applyBorder="1" applyAlignment="1">
      <alignment horizontal="right"/>
    </xf>
    <xf numFmtId="0" fontId="7" fillId="10" borderId="1" xfId="0" applyFont="1" applyFill="1" applyBorder="1"/>
    <xf numFmtId="0" fontId="7" fillId="10" borderId="3" xfId="0" applyFont="1" applyFill="1" applyBorder="1"/>
    <xf numFmtId="0" fontId="7" fillId="0" borderId="8" xfId="0" applyFont="1" applyBorder="1"/>
    <xf numFmtId="0" fontId="7" fillId="0" borderId="9" xfId="0" applyFont="1" applyBorder="1"/>
    <xf numFmtId="0" fontId="7" fillId="19" borderId="1" xfId="0" applyFont="1" applyFill="1" applyBorder="1"/>
    <xf numFmtId="0" fontId="7" fillId="19" borderId="3" xfId="0" applyFont="1" applyFill="1" applyBorder="1"/>
    <xf numFmtId="0" fontId="7" fillId="4" borderId="8" xfId="0" applyFont="1" applyFill="1" applyBorder="1"/>
    <xf numFmtId="0" fontId="7" fillId="4" borderId="19" xfId="0" applyFont="1" applyFill="1" applyBorder="1"/>
    <xf numFmtId="0" fontId="7" fillId="4" borderId="20" xfId="0" applyFont="1" applyFill="1" applyBorder="1"/>
    <xf numFmtId="0" fontId="7" fillId="8" borderId="1" xfId="0" applyFont="1" applyFill="1" applyBorder="1"/>
    <xf numFmtId="0" fontId="7" fillId="8" borderId="3" xfId="0" applyFont="1" applyFill="1" applyBorder="1"/>
    <xf numFmtId="0" fontId="16" fillId="0" borderId="1" xfId="7" applyFont="1" applyBorder="1" applyAlignment="1">
      <alignment horizontal="center" vertical="top" wrapText="1"/>
    </xf>
    <xf numFmtId="174" fontId="16" fillId="0" borderId="1" xfId="2" applyNumberFormat="1" applyFont="1" applyBorder="1" applyAlignment="1">
      <alignment horizontal="right" vertical="top" wrapText="1"/>
    </xf>
    <xf numFmtId="170" fontId="15" fillId="0" borderId="1" xfId="7" applyNumberFormat="1" applyFont="1" applyBorder="1" applyAlignment="1">
      <alignment horizontal="center" vertical="top" wrapText="1"/>
    </xf>
    <xf numFmtId="0" fontId="16" fillId="0" borderId="43" xfId="7" applyFont="1" applyBorder="1" applyAlignment="1">
      <alignment horizontal="center" vertical="top" wrapText="1"/>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0" fillId="0" borderId="46" xfId="0" applyBorder="1" applyAlignment="1">
      <alignment horizontal="center" vertical="top"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3" fillId="3" borderId="24" xfId="0" applyFont="1" applyFill="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0" fillId="0" borderId="32" xfId="0" applyBorder="1" applyAlignment="1">
      <alignment horizontal="center" vertical="top" wrapText="1"/>
    </xf>
    <xf numFmtId="0" fontId="0" fillId="0" borderId="33" xfId="0" applyBorder="1" applyAlignment="1">
      <alignment horizontal="center" vertical="top" wrapText="1"/>
    </xf>
    <xf numFmtId="0" fontId="0" fillId="0" borderId="34" xfId="0" applyBorder="1" applyAlignment="1">
      <alignment horizontal="center" vertical="top" wrapText="1"/>
    </xf>
    <xf numFmtId="0" fontId="3" fillId="0" borderId="49" xfId="0" applyFont="1" applyBorder="1" applyAlignment="1">
      <alignment horizontal="center"/>
    </xf>
    <xf numFmtId="0" fontId="3" fillId="0" borderId="50" xfId="0" applyFont="1" applyBorder="1" applyAlignment="1">
      <alignment horizontal="center"/>
    </xf>
    <xf numFmtId="0" fontId="0" fillId="0" borderId="44" xfId="0" applyBorder="1" applyAlignment="1">
      <alignment horizontal="center" vertical="top" wrapText="1"/>
    </xf>
    <xf numFmtId="0" fontId="0" fillId="0" borderId="35" xfId="0" applyBorder="1" applyAlignment="1">
      <alignment horizontal="center" vertical="top" wrapText="1"/>
    </xf>
    <xf numFmtId="0" fontId="0" fillId="0" borderId="18" xfId="0" applyBorder="1" applyAlignment="1">
      <alignment horizontal="center" vertical="top" wrapText="1"/>
    </xf>
    <xf numFmtId="0" fontId="3" fillId="0" borderId="51" xfId="0" applyFont="1" applyBorder="1" applyAlignment="1">
      <alignment horizontal="center"/>
    </xf>
    <xf numFmtId="0" fontId="3" fillId="3" borderId="51" xfId="0" applyFont="1" applyFill="1" applyBorder="1" applyAlignment="1">
      <alignment horizontal="center"/>
    </xf>
    <xf numFmtId="0" fontId="3" fillId="3" borderId="49" xfId="0" applyFont="1" applyFill="1" applyBorder="1" applyAlignment="1">
      <alignment horizontal="center"/>
    </xf>
    <xf numFmtId="0" fontId="3" fillId="3" borderId="50" xfId="0" applyFont="1" applyFill="1"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Border="1" applyAlignment="1">
      <alignment horizontal="left"/>
    </xf>
  </cellXfs>
  <cellStyles count="11">
    <cellStyle name="Hipervínculo" xfId="1" builtinId="8"/>
    <cellStyle name="Millares" xfId="2" builtinId="3"/>
    <cellStyle name="Millares 2" xfId="3"/>
    <cellStyle name="Millares 3" xfId="4"/>
    <cellStyle name="Moneda" xfId="5" builtinId="4"/>
    <cellStyle name="Normal" xfId="0" builtinId="0"/>
    <cellStyle name="Normal 2" xfId="6"/>
    <cellStyle name="Normal 3" xfId="7"/>
    <cellStyle name="Normal 4" xfId="8"/>
    <cellStyle name="Porcentual" xfId="9" builtinId="5"/>
    <cellStyle name="Porcentual 2"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0</xdr:rowOff>
    </xdr:from>
    <xdr:to>
      <xdr:col>1</xdr:col>
      <xdr:colOff>895350</xdr:colOff>
      <xdr:row>2</xdr:row>
      <xdr:rowOff>152400</xdr:rowOff>
    </xdr:to>
    <xdr:pic>
      <xdr:nvPicPr>
        <xdr:cNvPr id="18754" name="1 Imagen"/>
        <xdr:cNvPicPr>
          <a:picLocks noChangeAspect="1"/>
        </xdr:cNvPicPr>
      </xdr:nvPicPr>
      <xdr:blipFill>
        <a:blip xmlns:r="http://schemas.openxmlformats.org/officeDocument/2006/relationships" r:embed="rId1" cstate="print"/>
        <a:srcRect/>
        <a:stretch>
          <a:fillRect/>
        </a:stretch>
      </xdr:blipFill>
      <xdr:spPr bwMode="auto">
        <a:xfrm>
          <a:off x="438150" y="0"/>
          <a:ext cx="752475" cy="514350"/>
        </a:xfrm>
        <a:prstGeom prst="rect">
          <a:avLst/>
        </a:prstGeom>
        <a:noFill/>
        <a:ln w="9525">
          <a:noFill/>
          <a:miter lim="800000"/>
          <a:headEnd/>
          <a:tailEnd/>
        </a:ln>
      </xdr:spPr>
    </xdr:pic>
    <xdr:clientData/>
  </xdr:twoCellAnchor>
  <xdr:twoCellAnchor editAs="oneCell">
    <xdr:from>
      <xdr:col>6</xdr:col>
      <xdr:colOff>142875</xdr:colOff>
      <xdr:row>17</xdr:row>
      <xdr:rowOff>38100</xdr:rowOff>
    </xdr:from>
    <xdr:to>
      <xdr:col>10</xdr:col>
      <xdr:colOff>514350</xdr:colOff>
      <xdr:row>17</xdr:row>
      <xdr:rowOff>2352675</xdr:rowOff>
    </xdr:to>
    <xdr:pic>
      <xdr:nvPicPr>
        <xdr:cNvPr id="18755" name="111 Imagen"/>
        <xdr:cNvPicPr>
          <a:picLocks noChangeAspect="1" noChangeArrowheads="1"/>
        </xdr:cNvPicPr>
      </xdr:nvPicPr>
      <xdr:blipFill>
        <a:blip xmlns:r="http://schemas.openxmlformats.org/officeDocument/2006/relationships" r:embed="rId2" cstate="print"/>
        <a:srcRect/>
        <a:stretch>
          <a:fillRect/>
        </a:stretch>
      </xdr:blipFill>
      <xdr:spPr bwMode="auto">
        <a:xfrm>
          <a:off x="3943350" y="3086100"/>
          <a:ext cx="2952750" cy="2314575"/>
        </a:xfrm>
        <a:prstGeom prst="rect">
          <a:avLst/>
        </a:prstGeom>
        <a:noFill/>
        <a:ln w="9525">
          <a:noFill/>
          <a:miter lim="800000"/>
          <a:headEnd/>
          <a:tailEnd/>
        </a:ln>
      </xdr:spPr>
    </xdr:pic>
    <xdr:clientData/>
  </xdr:twoCellAnchor>
  <xdr:twoCellAnchor editAs="oneCell">
    <xdr:from>
      <xdr:col>1</xdr:col>
      <xdr:colOff>285750</xdr:colOff>
      <xdr:row>19</xdr:row>
      <xdr:rowOff>57150</xdr:rowOff>
    </xdr:from>
    <xdr:to>
      <xdr:col>5</xdr:col>
      <xdr:colOff>361950</xdr:colOff>
      <xdr:row>19</xdr:row>
      <xdr:rowOff>2371725</xdr:rowOff>
    </xdr:to>
    <xdr:pic>
      <xdr:nvPicPr>
        <xdr:cNvPr id="18756" name="111 Imagen"/>
        <xdr:cNvPicPr>
          <a:picLocks noChangeAspect="1" noChangeArrowheads="1"/>
        </xdr:cNvPicPr>
      </xdr:nvPicPr>
      <xdr:blipFill>
        <a:blip xmlns:r="http://schemas.openxmlformats.org/officeDocument/2006/relationships" r:embed="rId3" cstate="print"/>
        <a:srcRect/>
        <a:stretch>
          <a:fillRect/>
        </a:stretch>
      </xdr:blipFill>
      <xdr:spPr bwMode="auto">
        <a:xfrm>
          <a:off x="581025" y="5734050"/>
          <a:ext cx="2943225" cy="2314575"/>
        </a:xfrm>
        <a:prstGeom prst="rect">
          <a:avLst/>
        </a:prstGeom>
        <a:noFill/>
        <a:ln w="9525">
          <a:noFill/>
          <a:miter lim="800000"/>
          <a:headEnd/>
          <a:tailEnd/>
        </a:ln>
      </xdr:spPr>
    </xdr:pic>
    <xdr:clientData/>
  </xdr:twoCellAnchor>
  <xdr:twoCellAnchor editAs="oneCell">
    <xdr:from>
      <xdr:col>1</xdr:col>
      <xdr:colOff>323850</xdr:colOff>
      <xdr:row>17</xdr:row>
      <xdr:rowOff>28575</xdr:rowOff>
    </xdr:from>
    <xdr:to>
      <xdr:col>5</xdr:col>
      <xdr:colOff>390525</xdr:colOff>
      <xdr:row>17</xdr:row>
      <xdr:rowOff>2343150</xdr:rowOff>
    </xdr:to>
    <xdr:pic>
      <xdr:nvPicPr>
        <xdr:cNvPr id="18757" name="4 Imagen"/>
        <xdr:cNvPicPr>
          <a:picLocks noChangeAspect="1"/>
        </xdr:cNvPicPr>
      </xdr:nvPicPr>
      <xdr:blipFill>
        <a:blip xmlns:r="http://schemas.openxmlformats.org/officeDocument/2006/relationships" r:embed="rId4" cstate="print"/>
        <a:srcRect/>
        <a:stretch>
          <a:fillRect/>
        </a:stretch>
      </xdr:blipFill>
      <xdr:spPr bwMode="auto">
        <a:xfrm>
          <a:off x="619125" y="3076575"/>
          <a:ext cx="2933700" cy="2314575"/>
        </a:xfrm>
        <a:prstGeom prst="rect">
          <a:avLst/>
        </a:prstGeom>
        <a:noFill/>
        <a:ln w="9525">
          <a:noFill/>
          <a:miter lim="800000"/>
          <a:headEnd/>
          <a:tailEnd/>
        </a:ln>
      </xdr:spPr>
    </xdr:pic>
    <xdr:clientData/>
  </xdr:twoCellAnchor>
  <xdr:twoCellAnchor editAs="oneCell">
    <xdr:from>
      <xdr:col>6</xdr:col>
      <xdr:colOff>123825</xdr:colOff>
      <xdr:row>19</xdr:row>
      <xdr:rowOff>38100</xdr:rowOff>
    </xdr:from>
    <xdr:to>
      <xdr:col>10</xdr:col>
      <xdr:colOff>466725</xdr:colOff>
      <xdr:row>19</xdr:row>
      <xdr:rowOff>2333625</xdr:rowOff>
    </xdr:to>
    <xdr:pic>
      <xdr:nvPicPr>
        <xdr:cNvPr id="18758" name="15 Imagen"/>
        <xdr:cNvPicPr>
          <a:picLocks noChangeAspect="1" noChangeArrowheads="1"/>
        </xdr:cNvPicPr>
      </xdr:nvPicPr>
      <xdr:blipFill>
        <a:blip xmlns:r="http://schemas.openxmlformats.org/officeDocument/2006/relationships" r:embed="rId5" cstate="print"/>
        <a:srcRect/>
        <a:stretch>
          <a:fillRect/>
        </a:stretch>
      </xdr:blipFill>
      <xdr:spPr bwMode="auto">
        <a:xfrm>
          <a:off x="3924300" y="5715000"/>
          <a:ext cx="2924175" cy="2295525"/>
        </a:xfrm>
        <a:prstGeom prst="rect">
          <a:avLst/>
        </a:prstGeom>
        <a:noFill/>
        <a:ln w="9525">
          <a:noFill/>
          <a:miter lim="800000"/>
          <a:headEnd/>
          <a:tailEnd/>
        </a:ln>
      </xdr:spPr>
    </xdr:pic>
    <xdr:clientData/>
  </xdr:twoCellAnchor>
  <xdr:twoCellAnchor editAs="oneCell">
    <xdr:from>
      <xdr:col>6</xdr:col>
      <xdr:colOff>180975</xdr:colOff>
      <xdr:row>39</xdr:row>
      <xdr:rowOff>47625</xdr:rowOff>
    </xdr:from>
    <xdr:to>
      <xdr:col>10</xdr:col>
      <xdr:colOff>457200</xdr:colOff>
      <xdr:row>39</xdr:row>
      <xdr:rowOff>1885950</xdr:rowOff>
    </xdr:to>
    <xdr:pic>
      <xdr:nvPicPr>
        <xdr:cNvPr id="18759" name="Imagen 6"/>
        <xdr:cNvPicPr>
          <a:picLocks noChangeAspect="1"/>
        </xdr:cNvPicPr>
      </xdr:nvPicPr>
      <xdr:blipFill>
        <a:blip xmlns:r="http://schemas.openxmlformats.org/officeDocument/2006/relationships" r:embed="rId6" cstate="print"/>
        <a:srcRect l="20230" t="33162" r="38785" b="22234"/>
        <a:stretch>
          <a:fillRect/>
        </a:stretch>
      </xdr:blipFill>
      <xdr:spPr bwMode="auto">
        <a:xfrm>
          <a:off x="3981450" y="27222450"/>
          <a:ext cx="2857500" cy="1838325"/>
        </a:xfrm>
        <a:prstGeom prst="rect">
          <a:avLst/>
        </a:prstGeom>
        <a:noFill/>
        <a:ln w="12700">
          <a:solidFill>
            <a:srgbClr val="000000"/>
          </a:solidFill>
          <a:miter lim="800000"/>
          <a:headEnd/>
          <a:tailEnd/>
        </a:ln>
      </xdr:spPr>
    </xdr:pic>
    <xdr:clientData/>
  </xdr:twoCellAnchor>
  <xdr:twoCellAnchor editAs="oneCell">
    <xdr:from>
      <xdr:col>6</xdr:col>
      <xdr:colOff>142875</xdr:colOff>
      <xdr:row>40</xdr:row>
      <xdr:rowOff>47625</xdr:rowOff>
    </xdr:from>
    <xdr:to>
      <xdr:col>10</xdr:col>
      <xdr:colOff>590550</xdr:colOff>
      <xdr:row>40</xdr:row>
      <xdr:rowOff>2257425</xdr:rowOff>
    </xdr:to>
    <xdr:pic>
      <xdr:nvPicPr>
        <xdr:cNvPr id="18760" name="Imagen 7"/>
        <xdr:cNvPicPr>
          <a:picLocks noChangeAspect="1"/>
        </xdr:cNvPicPr>
      </xdr:nvPicPr>
      <xdr:blipFill>
        <a:blip xmlns:r="http://schemas.openxmlformats.org/officeDocument/2006/relationships" r:embed="rId7" cstate="print"/>
        <a:srcRect l="21941" t="39586" r="44659" b="18793"/>
        <a:stretch>
          <a:fillRect/>
        </a:stretch>
      </xdr:blipFill>
      <xdr:spPr bwMode="auto">
        <a:xfrm>
          <a:off x="3943350" y="29422725"/>
          <a:ext cx="3028950" cy="2209800"/>
        </a:xfrm>
        <a:prstGeom prst="rect">
          <a:avLst/>
        </a:prstGeom>
        <a:noFill/>
        <a:ln w="12700">
          <a:solidFill>
            <a:srgbClr val="000000"/>
          </a:solidFill>
          <a:miter lim="800000"/>
          <a:headEnd/>
          <a:tailEnd/>
        </a:ln>
      </xdr:spPr>
    </xdr:pic>
    <xdr:clientData/>
  </xdr:twoCellAnchor>
  <xdr:twoCellAnchor editAs="oneCell">
    <xdr:from>
      <xdr:col>6</xdr:col>
      <xdr:colOff>342900</xdr:colOff>
      <xdr:row>38</xdr:row>
      <xdr:rowOff>104775</xdr:rowOff>
    </xdr:from>
    <xdr:to>
      <xdr:col>10</xdr:col>
      <xdr:colOff>409575</xdr:colOff>
      <xdr:row>38</xdr:row>
      <xdr:rowOff>2371725</xdr:rowOff>
    </xdr:to>
    <xdr:pic>
      <xdr:nvPicPr>
        <xdr:cNvPr id="18761" name="Imagen 1"/>
        <xdr:cNvPicPr>
          <a:picLocks noChangeAspect="1"/>
        </xdr:cNvPicPr>
      </xdr:nvPicPr>
      <xdr:blipFill>
        <a:blip xmlns:r="http://schemas.openxmlformats.org/officeDocument/2006/relationships" r:embed="rId8" cstate="print"/>
        <a:srcRect l="49278" t="18465" r="13734" b="27782"/>
        <a:stretch>
          <a:fillRect/>
        </a:stretch>
      </xdr:blipFill>
      <xdr:spPr bwMode="auto">
        <a:xfrm>
          <a:off x="4143375" y="24860250"/>
          <a:ext cx="2647950" cy="2266950"/>
        </a:xfrm>
        <a:prstGeom prst="rect">
          <a:avLst/>
        </a:prstGeom>
        <a:noFill/>
        <a:ln w="9525">
          <a:solidFill>
            <a:srgbClr val="000000"/>
          </a:solidFill>
          <a:miter lim="800000"/>
          <a:headEnd/>
          <a:tailEnd/>
        </a:ln>
      </xdr:spPr>
    </xdr:pic>
    <xdr:clientData/>
  </xdr:twoCellAnchor>
  <xdr:twoCellAnchor editAs="oneCell">
    <xdr:from>
      <xdr:col>1</xdr:col>
      <xdr:colOff>190500</xdr:colOff>
      <xdr:row>26</xdr:row>
      <xdr:rowOff>57150</xdr:rowOff>
    </xdr:from>
    <xdr:to>
      <xdr:col>10</xdr:col>
      <xdr:colOff>171450</xdr:colOff>
      <xdr:row>29</xdr:row>
      <xdr:rowOff>2247900</xdr:rowOff>
    </xdr:to>
    <xdr:pic>
      <xdr:nvPicPr>
        <xdr:cNvPr id="18762" name="Imagen 2"/>
        <xdr:cNvPicPr>
          <a:picLocks noChangeAspect="1"/>
        </xdr:cNvPicPr>
      </xdr:nvPicPr>
      <xdr:blipFill>
        <a:blip xmlns:r="http://schemas.openxmlformats.org/officeDocument/2006/relationships" r:embed="rId9" cstate="print"/>
        <a:srcRect l="40186" t="11804" r="2338" b="15524"/>
        <a:stretch>
          <a:fillRect/>
        </a:stretch>
      </xdr:blipFill>
      <xdr:spPr bwMode="auto">
        <a:xfrm>
          <a:off x="485775" y="13754100"/>
          <a:ext cx="6067425" cy="4514850"/>
        </a:xfrm>
        <a:prstGeom prst="rect">
          <a:avLst/>
        </a:prstGeom>
        <a:noFill/>
        <a:ln w="9525">
          <a:solidFill>
            <a:srgbClr val="000000"/>
          </a:solid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69"/>
  <sheetViews>
    <sheetView topLeftCell="A33" workbookViewId="0">
      <selection activeCell="C19" sqref="C19"/>
    </sheetView>
  </sheetViews>
  <sheetFormatPr baseColWidth="10" defaultRowHeight="15"/>
  <cols>
    <col min="1" max="1" width="35.140625" customWidth="1"/>
    <col min="2" max="2" width="14.42578125" customWidth="1"/>
    <col min="3" max="3" width="15.85546875" customWidth="1"/>
    <col min="4" max="4" width="4.140625" customWidth="1"/>
    <col min="6" max="6" width="14.140625" bestFit="1" customWidth="1"/>
    <col min="8" max="8" width="11.140625" bestFit="1" customWidth="1"/>
    <col min="9" max="10" width="14.5703125" bestFit="1" customWidth="1"/>
  </cols>
  <sheetData>
    <row r="1" spans="1:11">
      <c r="A1" s="320" t="s">
        <v>92</v>
      </c>
      <c r="B1" s="320"/>
      <c r="C1" s="320"/>
    </row>
    <row r="2" spans="1:11">
      <c r="A2" s="77" t="s">
        <v>91</v>
      </c>
      <c r="B2" s="77" t="s">
        <v>1</v>
      </c>
      <c r="C2" s="77" t="s">
        <v>3</v>
      </c>
    </row>
    <row r="3" spans="1:11">
      <c r="A3" s="190" t="s">
        <v>163</v>
      </c>
      <c r="B3" s="78" t="s">
        <v>88</v>
      </c>
      <c r="C3" s="78">
        <v>1800</v>
      </c>
    </row>
    <row r="4" spans="1:11">
      <c r="A4" s="78" t="s">
        <v>89</v>
      </c>
      <c r="B4" s="78" t="s">
        <v>90</v>
      </c>
      <c r="C4" s="78">
        <v>400</v>
      </c>
    </row>
    <row r="5" spans="1:11" ht="30" customHeight="1">
      <c r="A5" s="283" t="s">
        <v>258</v>
      </c>
      <c r="B5" s="284" t="s">
        <v>88</v>
      </c>
      <c r="C5" s="80">
        <v>2400</v>
      </c>
      <c r="J5">
        <f>170*4000</f>
        <v>680000</v>
      </c>
      <c r="K5">
        <f>2000*1020</f>
        <v>2040000</v>
      </c>
    </row>
    <row r="6" spans="1:11">
      <c r="A6" s="78" t="s">
        <v>97</v>
      </c>
      <c r="B6" s="140" t="s">
        <v>1</v>
      </c>
      <c r="C6" s="80">
        <v>400</v>
      </c>
      <c r="J6">
        <v>850000</v>
      </c>
      <c r="K6">
        <f>K5-850000</f>
        <v>1190000</v>
      </c>
    </row>
    <row r="7" spans="1:11">
      <c r="A7" s="240" t="s">
        <v>191</v>
      </c>
      <c r="B7" s="200" t="s">
        <v>88</v>
      </c>
      <c r="C7" s="140">
        <v>4000</v>
      </c>
      <c r="J7">
        <f>SUM(J5:J6)</f>
        <v>1530000</v>
      </c>
    </row>
    <row r="8" spans="1:11" ht="16.5" customHeight="1">
      <c r="A8" s="271" t="s">
        <v>226</v>
      </c>
      <c r="B8" s="200" t="s">
        <v>1</v>
      </c>
      <c r="C8" s="200">
        <v>16000</v>
      </c>
    </row>
    <row r="9" spans="1:11">
      <c r="A9" s="272" t="s">
        <v>227</v>
      </c>
      <c r="B9" s="200" t="s">
        <v>1</v>
      </c>
      <c r="C9" s="200">
        <v>170000</v>
      </c>
    </row>
    <row r="10" spans="1:11">
      <c r="A10" s="272" t="s">
        <v>228</v>
      </c>
      <c r="B10" s="273" t="s">
        <v>90</v>
      </c>
      <c r="C10" s="200">
        <v>8000</v>
      </c>
    </row>
    <row r="11" spans="1:11">
      <c r="A11" s="272" t="s">
        <v>230</v>
      </c>
      <c r="B11" s="273" t="s">
        <v>229</v>
      </c>
      <c r="C11" s="200">
        <v>7000</v>
      </c>
      <c r="J11">
        <f>170*4000</f>
        <v>680000</v>
      </c>
    </row>
    <row r="13" spans="1:11">
      <c r="A13" s="320" t="s">
        <v>93</v>
      </c>
      <c r="B13" s="320"/>
      <c r="C13" s="320"/>
    </row>
    <row r="14" spans="1:11">
      <c r="A14" s="79" t="s">
        <v>91</v>
      </c>
      <c r="B14" s="79" t="s">
        <v>1</v>
      </c>
      <c r="C14" s="79" t="s">
        <v>3</v>
      </c>
    </row>
    <row r="15" spans="1:11">
      <c r="A15" s="159" t="s">
        <v>135</v>
      </c>
      <c r="B15" s="78" t="s">
        <v>94</v>
      </c>
      <c r="C15" s="78">
        <v>900000</v>
      </c>
    </row>
    <row r="16" spans="1:11">
      <c r="A16" s="78" t="s">
        <v>95</v>
      </c>
      <c r="B16" s="78" t="s">
        <v>96</v>
      </c>
      <c r="C16" s="78">
        <f>B52</f>
        <v>56000.34782608696</v>
      </c>
    </row>
    <row r="17" spans="1:6">
      <c r="A17" s="157" t="s">
        <v>132</v>
      </c>
      <c r="B17" s="7" t="s">
        <v>131</v>
      </c>
      <c r="C17" s="158">
        <f>B67</f>
        <v>2363308</v>
      </c>
    </row>
    <row r="18" spans="1:6">
      <c r="A18" s="317" t="s">
        <v>315</v>
      </c>
      <c r="B18" s="7" t="s">
        <v>131</v>
      </c>
      <c r="C18" s="158">
        <v>9160000</v>
      </c>
      <c r="E18" t="s">
        <v>316</v>
      </c>
      <c r="F18" s="70"/>
    </row>
    <row r="19" spans="1:6">
      <c r="A19" s="311" t="s">
        <v>282</v>
      </c>
      <c r="B19" s="7" t="s">
        <v>131</v>
      </c>
      <c r="C19" s="158"/>
      <c r="E19" t="s">
        <v>267</v>
      </c>
    </row>
    <row r="20" spans="1:6">
      <c r="C20" s="81">
        <f>consolidado!F167</f>
        <v>25914226.410778053</v>
      </c>
    </row>
    <row r="21" spans="1:6">
      <c r="A21" s="320" t="s">
        <v>261</v>
      </c>
      <c r="B21" s="320"/>
      <c r="C21" s="320"/>
    </row>
    <row r="22" spans="1:6">
      <c r="A22" s="282" t="s">
        <v>91</v>
      </c>
      <c r="B22" s="282" t="s">
        <v>1</v>
      </c>
      <c r="C22" s="282" t="s">
        <v>3</v>
      </c>
    </row>
    <row r="23" spans="1:6">
      <c r="A23" s="294" t="s">
        <v>263</v>
      </c>
      <c r="B23" s="295" t="s">
        <v>264</v>
      </c>
      <c r="C23" s="272">
        <v>4500000</v>
      </c>
    </row>
    <row r="24" spans="1:6">
      <c r="A24" s="295" t="s">
        <v>265</v>
      </c>
      <c r="B24" s="295" t="s">
        <v>1</v>
      </c>
      <c r="C24" s="272">
        <v>100000</v>
      </c>
    </row>
    <row r="25" spans="1:6" ht="18.600000000000001" customHeight="1">
      <c r="A25" s="294" t="s">
        <v>266</v>
      </c>
      <c r="B25" s="296" t="s">
        <v>264</v>
      </c>
      <c r="C25" s="284">
        <v>2200000</v>
      </c>
    </row>
    <row r="26" spans="1:6">
      <c r="A26" s="295" t="s">
        <v>268</v>
      </c>
      <c r="B26" s="296" t="s">
        <v>88</v>
      </c>
      <c r="C26" s="284">
        <f>90000</f>
        <v>90000</v>
      </c>
    </row>
    <row r="27" spans="1:6">
      <c r="A27" s="300" t="s">
        <v>269</v>
      </c>
      <c r="B27" s="301" t="s">
        <v>270</v>
      </c>
      <c r="C27" s="284">
        <f>150000</f>
        <v>150000</v>
      </c>
    </row>
    <row r="28" spans="1:6" ht="16.5" customHeight="1">
      <c r="A28" s="302" t="s">
        <v>271</v>
      </c>
      <c r="B28" s="284" t="s">
        <v>1</v>
      </c>
      <c r="C28" s="284">
        <f>18300</f>
        <v>18300</v>
      </c>
    </row>
    <row r="29" spans="1:6">
      <c r="A29" s="300" t="s">
        <v>272</v>
      </c>
      <c r="B29" s="284" t="s">
        <v>1</v>
      </c>
      <c r="C29" s="284">
        <f>7900</f>
        <v>7900</v>
      </c>
    </row>
    <row r="30" spans="1:6" ht="30">
      <c r="A30" s="302" t="s">
        <v>273</v>
      </c>
      <c r="B30" s="301" t="s">
        <v>1</v>
      </c>
      <c r="C30" s="284">
        <f>388100</f>
        <v>388100</v>
      </c>
    </row>
    <row r="31" spans="1:6">
      <c r="A31" s="300" t="s">
        <v>274</v>
      </c>
      <c r="B31" s="301" t="s">
        <v>1</v>
      </c>
      <c r="C31" s="284">
        <f>34000</f>
        <v>34000</v>
      </c>
    </row>
    <row r="32" spans="1:6" ht="23.45" customHeight="1">
      <c r="A32" s="300" t="s">
        <v>275</v>
      </c>
      <c r="B32" s="301" t="s">
        <v>270</v>
      </c>
      <c r="C32" s="296">
        <f>52800</f>
        <v>52800</v>
      </c>
    </row>
    <row r="33" spans="1:10" ht="16.5" customHeight="1">
      <c r="A33" s="302" t="s">
        <v>276</v>
      </c>
      <c r="B33" s="296" t="s">
        <v>1</v>
      </c>
      <c r="C33" s="296">
        <f>58200</f>
        <v>58200</v>
      </c>
    </row>
    <row r="34" spans="1:10">
      <c r="A34" s="300" t="s">
        <v>279</v>
      </c>
      <c r="B34" s="301" t="s">
        <v>277</v>
      </c>
      <c r="C34" s="296">
        <v>1080000</v>
      </c>
    </row>
    <row r="35" spans="1:10">
      <c r="A35" s="295"/>
      <c r="B35" s="296"/>
      <c r="C35" s="296"/>
    </row>
    <row r="36" spans="1:10">
      <c r="A36" s="295"/>
      <c r="B36" s="296"/>
      <c r="C36" s="296"/>
    </row>
    <row r="37" spans="1:10" ht="15.75" thickBot="1"/>
    <row r="38" spans="1:10">
      <c r="A38" s="321" t="s">
        <v>192</v>
      </c>
      <c r="B38" s="322"/>
      <c r="C38" s="323"/>
    </row>
    <row r="39" spans="1:10" ht="15.75" thickBot="1">
      <c r="A39" s="243"/>
      <c r="B39" s="18"/>
      <c r="C39" s="27" t="s">
        <v>187</v>
      </c>
    </row>
    <row r="40" spans="1:10">
      <c r="A40" s="244" t="s">
        <v>254</v>
      </c>
      <c r="B40" s="245">
        <v>780000</v>
      </c>
      <c r="C40" s="246"/>
    </row>
    <row r="41" spans="1:10">
      <c r="A41" s="12" t="s">
        <v>180</v>
      </c>
      <c r="B41" s="241">
        <v>77700</v>
      </c>
      <c r="C41" s="247"/>
    </row>
    <row r="42" spans="1:10">
      <c r="A42" s="12" t="s">
        <v>181</v>
      </c>
      <c r="B42" s="241">
        <f t="shared" ref="B42:B47" si="0">$B$40*C42</f>
        <v>66300</v>
      </c>
      <c r="C42" s="248">
        <v>8.5000000000000006E-2</v>
      </c>
    </row>
    <row r="43" spans="1:10">
      <c r="A43" s="12" t="s">
        <v>182</v>
      </c>
      <c r="B43" s="241">
        <f>$B$40*C43</f>
        <v>93600</v>
      </c>
      <c r="C43" s="248">
        <v>0.12</v>
      </c>
      <c r="H43" s="314"/>
      <c r="I43" s="314"/>
      <c r="J43" s="314"/>
    </row>
    <row r="44" spans="1:10">
      <c r="A44" s="12" t="s">
        <v>183</v>
      </c>
      <c r="B44" s="241">
        <f t="shared" si="0"/>
        <v>64974</v>
      </c>
      <c r="C44" s="248">
        <v>8.3299999999999999E-2</v>
      </c>
      <c r="G44" t="s">
        <v>288</v>
      </c>
      <c r="H44" s="314">
        <v>644350</v>
      </c>
      <c r="I44" s="314">
        <v>120000000</v>
      </c>
      <c r="J44" s="314">
        <f>I44/H44</f>
        <v>186.2341894932878</v>
      </c>
    </row>
    <row r="45" spans="1:10">
      <c r="A45" s="12" t="s">
        <v>184</v>
      </c>
      <c r="B45" s="241">
        <f t="shared" si="0"/>
        <v>32760.000000000004</v>
      </c>
      <c r="C45" s="248">
        <v>4.2000000000000003E-2</v>
      </c>
      <c r="G45" t="s">
        <v>289</v>
      </c>
      <c r="H45" s="314">
        <v>689455</v>
      </c>
      <c r="I45" s="314">
        <f>H45*J44</f>
        <v>128400093.11709474</v>
      </c>
      <c r="J45" s="314">
        <f>I45*2</f>
        <v>256800186.23418948</v>
      </c>
    </row>
    <row r="46" spans="1:10">
      <c r="A46" s="12" t="s">
        <v>185</v>
      </c>
      <c r="B46" s="241">
        <f t="shared" si="0"/>
        <v>64974</v>
      </c>
      <c r="C46" s="248">
        <v>8.3299999999999999E-2</v>
      </c>
      <c r="H46" s="314"/>
      <c r="I46" s="314"/>
      <c r="J46" s="314"/>
    </row>
    <row r="47" spans="1:10">
      <c r="A47" s="12" t="s">
        <v>193</v>
      </c>
      <c r="B47" s="241">
        <f t="shared" si="0"/>
        <v>70200</v>
      </c>
      <c r="C47" s="248">
        <v>0.09</v>
      </c>
      <c r="H47" s="314"/>
      <c r="I47" s="314"/>
      <c r="J47" s="314"/>
    </row>
    <row r="48" spans="1:10">
      <c r="A48" s="12" t="s">
        <v>186</v>
      </c>
      <c r="B48" s="241">
        <v>15000</v>
      </c>
      <c r="C48" s="247"/>
      <c r="H48" s="314"/>
      <c r="I48" s="314"/>
      <c r="J48" s="314"/>
    </row>
    <row r="49" spans="1:3">
      <c r="A49" s="12" t="s">
        <v>188</v>
      </c>
      <c r="B49" s="241">
        <f>90000/4</f>
        <v>22500</v>
      </c>
      <c r="C49" s="247"/>
    </row>
    <row r="50" spans="1:3">
      <c r="A50" s="12"/>
      <c r="B50" s="242">
        <f>SUM(B40:B49)</f>
        <v>1288008</v>
      </c>
      <c r="C50" s="24"/>
    </row>
    <row r="51" spans="1:3">
      <c r="A51" s="249" t="s">
        <v>189</v>
      </c>
      <c r="B51" s="7">
        <v>23</v>
      </c>
      <c r="C51" s="24"/>
    </row>
    <row r="52" spans="1:3" ht="15.75" thickBot="1">
      <c r="A52" s="243" t="s">
        <v>190</v>
      </c>
      <c r="B52" s="250">
        <f>B50/B51</f>
        <v>56000.34782608696</v>
      </c>
      <c r="C52" s="27"/>
    </row>
    <row r="54" spans="1:3" ht="15.75" thickBot="1"/>
    <row r="55" spans="1:3" ht="15" customHeight="1">
      <c r="A55" s="321" t="s">
        <v>194</v>
      </c>
      <c r="B55" s="322"/>
      <c r="C55" s="323"/>
    </row>
    <row r="56" spans="1:3" ht="15.75" thickBot="1">
      <c r="A56" s="243"/>
      <c r="B56" s="18"/>
      <c r="C56" s="27" t="s">
        <v>187</v>
      </c>
    </row>
    <row r="57" spans="1:3">
      <c r="A57" s="244" t="s">
        <v>198</v>
      </c>
      <c r="B57" s="245">
        <v>1900000</v>
      </c>
      <c r="C57" s="246"/>
    </row>
    <row r="58" spans="1:3">
      <c r="A58" s="12" t="s">
        <v>180</v>
      </c>
      <c r="B58" s="241">
        <v>72000</v>
      </c>
      <c r="C58" s="247"/>
    </row>
    <row r="59" spans="1:3">
      <c r="A59" s="12" t="s">
        <v>181</v>
      </c>
      <c r="B59" s="241">
        <f t="shared" ref="B59:B64" si="1">$B$40*C59</f>
        <v>66300</v>
      </c>
      <c r="C59" s="248">
        <v>8.5000000000000006E-2</v>
      </c>
    </row>
    <row r="60" spans="1:3">
      <c r="A60" s="12" t="s">
        <v>182</v>
      </c>
      <c r="B60" s="241">
        <f t="shared" si="1"/>
        <v>93600</v>
      </c>
      <c r="C60" s="248">
        <v>0.12</v>
      </c>
    </row>
    <row r="61" spans="1:3">
      <c r="A61" s="12" t="s">
        <v>183</v>
      </c>
      <c r="B61" s="241">
        <f t="shared" si="1"/>
        <v>64974</v>
      </c>
      <c r="C61" s="248">
        <v>8.3299999999999999E-2</v>
      </c>
    </row>
    <row r="62" spans="1:3">
      <c r="A62" s="12" t="s">
        <v>184</v>
      </c>
      <c r="B62" s="241">
        <f t="shared" si="1"/>
        <v>32760.000000000004</v>
      </c>
      <c r="C62" s="248">
        <v>4.2000000000000003E-2</v>
      </c>
    </row>
    <row r="63" spans="1:3">
      <c r="A63" s="12" t="s">
        <v>185</v>
      </c>
      <c r="B63" s="241">
        <f t="shared" si="1"/>
        <v>64974</v>
      </c>
      <c r="C63" s="248">
        <v>8.3299999999999999E-2</v>
      </c>
    </row>
    <row r="64" spans="1:3">
      <c r="A64" s="12" t="s">
        <v>193</v>
      </c>
      <c r="B64" s="241">
        <f t="shared" si="1"/>
        <v>31200</v>
      </c>
      <c r="C64" s="248">
        <v>0.04</v>
      </c>
    </row>
    <row r="65" spans="1:3">
      <c r="A65" s="12" t="s">
        <v>186</v>
      </c>
      <c r="B65" s="241">
        <v>15000</v>
      </c>
      <c r="C65" s="247"/>
    </row>
    <row r="66" spans="1:3">
      <c r="A66" s="12" t="s">
        <v>188</v>
      </c>
      <c r="B66" s="241">
        <f>90000/4</f>
        <v>22500</v>
      </c>
      <c r="C66" s="247"/>
    </row>
    <row r="67" spans="1:3">
      <c r="A67" s="12"/>
      <c r="B67" s="242">
        <f>SUM(B57:B66)</f>
        <v>2363308</v>
      </c>
      <c r="C67" s="24"/>
    </row>
    <row r="68" spans="1:3">
      <c r="A68" s="249" t="s">
        <v>189</v>
      </c>
      <c r="B68" s="7">
        <v>23</v>
      </c>
      <c r="C68" s="24"/>
    </row>
    <row r="69" spans="1:3" ht="15.75" thickBot="1">
      <c r="A69" s="243" t="s">
        <v>190</v>
      </c>
      <c r="B69" s="250">
        <f>B67/B68</f>
        <v>102752.52173913043</v>
      </c>
      <c r="C69" s="27"/>
    </row>
  </sheetData>
  <mergeCells count="5">
    <mergeCell ref="A1:C1"/>
    <mergeCell ref="A13:C13"/>
    <mergeCell ref="A38:C38"/>
    <mergeCell ref="A55:C55"/>
    <mergeCell ref="A21:C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V154"/>
  <sheetViews>
    <sheetView tabSelected="1" view="pageBreakPreview" topLeftCell="A16" zoomScaleNormal="100" zoomScaleSheetLayoutView="100" workbookViewId="0">
      <selection activeCell="D11" sqref="D11:F11"/>
    </sheetView>
  </sheetViews>
  <sheetFormatPr baseColWidth="10" defaultRowHeight="12.75"/>
  <cols>
    <col min="1" max="1" width="4.42578125" style="154" customWidth="1"/>
    <col min="2" max="2" width="18.42578125" style="154" customWidth="1"/>
    <col min="3" max="3" width="4.42578125" style="154" customWidth="1"/>
    <col min="4" max="4" width="15.85546875" style="154" customWidth="1"/>
    <col min="5" max="5" width="4.28515625" style="154" customWidth="1"/>
    <col min="6" max="6" width="9.5703125" style="154" customWidth="1"/>
    <col min="7" max="7" width="6.85546875" style="154" customWidth="1"/>
    <col min="8" max="8" width="4.7109375" style="154" customWidth="1"/>
    <col min="9" max="9" width="14.42578125" style="154" customWidth="1"/>
    <col min="10" max="10" width="12.7109375" style="154" customWidth="1"/>
    <col min="11" max="11" width="9.28515625" style="154" customWidth="1"/>
    <col min="12" max="12" width="0.7109375" style="154" customWidth="1"/>
    <col min="13" max="13" width="11.42578125" style="160"/>
    <col min="14" max="19" width="0" style="160" hidden="1" customWidth="1"/>
    <col min="20" max="16384" width="11.42578125" style="160"/>
  </cols>
  <sheetData>
    <row r="1" spans="1:20">
      <c r="A1" s="368" t="s">
        <v>136</v>
      </c>
      <c r="B1" s="369"/>
      <c r="C1" s="369"/>
      <c r="D1" s="369"/>
      <c r="E1" s="369"/>
      <c r="F1" s="369"/>
      <c r="G1" s="369"/>
      <c r="H1" s="369"/>
      <c r="I1" s="369"/>
      <c r="J1" s="369"/>
      <c r="K1" s="369"/>
      <c r="L1" s="370"/>
    </row>
    <row r="2" spans="1:20" ht="15.75" customHeight="1">
      <c r="A2" s="371" t="s">
        <v>137</v>
      </c>
      <c r="B2" s="372"/>
      <c r="C2" s="372"/>
      <c r="D2" s="372"/>
      <c r="E2" s="372"/>
      <c r="F2" s="372"/>
      <c r="G2" s="372"/>
      <c r="H2" s="372"/>
      <c r="I2" s="372"/>
      <c r="J2" s="372"/>
      <c r="K2" s="372"/>
      <c r="L2" s="373"/>
    </row>
    <row r="3" spans="1:20" ht="15" customHeight="1" thickBot="1">
      <c r="A3" s="374" t="s">
        <v>201</v>
      </c>
      <c r="B3" s="375"/>
      <c r="C3" s="375"/>
      <c r="D3" s="375"/>
      <c r="E3" s="375"/>
      <c r="F3" s="375"/>
      <c r="G3" s="375"/>
      <c r="H3" s="375"/>
      <c r="I3" s="375"/>
      <c r="J3" s="375"/>
      <c r="K3" s="375"/>
      <c r="L3" s="376"/>
    </row>
    <row r="4" spans="1:20" ht="7.5" customHeight="1" thickBot="1">
      <c r="A4" s="145"/>
      <c r="B4" s="161"/>
      <c r="C4" s="161"/>
      <c r="D4" s="161"/>
      <c r="E4" s="161"/>
      <c r="F4" s="161"/>
      <c r="G4" s="161"/>
      <c r="H4" s="161"/>
      <c r="I4" s="161"/>
      <c r="J4" s="161"/>
      <c r="K4" s="161"/>
      <c r="L4" s="147"/>
    </row>
    <row r="5" spans="1:20" ht="14.25" customHeight="1" thickBot="1">
      <c r="A5" s="377" t="s">
        <v>202</v>
      </c>
      <c r="B5" s="378"/>
      <c r="C5" s="378"/>
      <c r="D5" s="378"/>
      <c r="E5" s="378"/>
      <c r="F5" s="378"/>
      <c r="G5" s="378"/>
      <c r="H5" s="378"/>
      <c r="I5" s="378"/>
      <c r="J5" s="378"/>
      <c r="K5" s="378"/>
      <c r="L5" s="379"/>
    </row>
    <row r="6" spans="1:20" customFormat="1" ht="16.899999999999999" customHeight="1">
      <c r="A6" s="141"/>
      <c r="B6" s="162" t="s">
        <v>138</v>
      </c>
      <c r="C6" s="162"/>
      <c r="D6" s="381" t="s">
        <v>295</v>
      </c>
      <c r="E6" s="381"/>
      <c r="F6" s="381"/>
      <c r="G6" s="381"/>
      <c r="H6" s="163"/>
      <c r="I6" s="164" t="s">
        <v>139</v>
      </c>
      <c r="J6" s="382" t="s">
        <v>296</v>
      </c>
      <c r="K6" s="382"/>
      <c r="L6" s="165"/>
      <c r="P6" t="s">
        <v>247</v>
      </c>
      <c r="Q6" t="s">
        <v>248</v>
      </c>
      <c r="R6" t="s">
        <v>250</v>
      </c>
    </row>
    <row r="7" spans="1:20" customFormat="1" ht="15">
      <c r="A7" s="145"/>
      <c r="B7" s="166" t="s">
        <v>140</v>
      </c>
      <c r="C7" s="166"/>
      <c r="D7" s="325" t="s">
        <v>297</v>
      </c>
      <c r="E7" s="325"/>
      <c r="F7" s="325"/>
      <c r="G7" s="325"/>
      <c r="H7" s="167"/>
      <c r="I7" s="166" t="s">
        <v>141</v>
      </c>
      <c r="J7" s="168">
        <v>400</v>
      </c>
      <c r="K7" s="169" t="s">
        <v>244</v>
      </c>
      <c r="L7" s="170"/>
      <c r="O7" t="s">
        <v>246</v>
      </c>
      <c r="P7">
        <v>2921</v>
      </c>
      <c r="R7">
        <v>22</v>
      </c>
    </row>
    <row r="8" spans="1:20" customFormat="1" ht="19.5" customHeight="1">
      <c r="A8" s="257"/>
      <c r="B8" s="235" t="s">
        <v>199</v>
      </c>
      <c r="C8" s="235"/>
      <c r="D8" s="326" t="s">
        <v>200</v>
      </c>
      <c r="E8" s="326"/>
      <c r="F8" s="326"/>
      <c r="G8" s="326"/>
      <c r="H8" s="258"/>
      <c r="I8" s="235" t="s">
        <v>159</v>
      </c>
      <c r="J8" s="327" t="s">
        <v>298</v>
      </c>
      <c r="K8" s="327"/>
      <c r="L8" s="170"/>
      <c r="O8" t="s">
        <v>249</v>
      </c>
      <c r="P8" s="255">
        <v>52</v>
      </c>
    </row>
    <row r="9" spans="1:20" customFormat="1" ht="15">
      <c r="A9" s="145"/>
      <c r="B9" s="166" t="s">
        <v>142</v>
      </c>
      <c r="C9" s="166"/>
      <c r="D9" s="328" t="s">
        <v>243</v>
      </c>
      <c r="E9" s="328"/>
      <c r="F9" s="328"/>
      <c r="G9" s="172"/>
      <c r="H9" s="172"/>
      <c r="I9" s="166" t="s">
        <v>160</v>
      </c>
      <c r="J9" s="189" t="s">
        <v>235</v>
      </c>
      <c r="K9" s="173"/>
      <c r="L9" s="170"/>
    </row>
    <row r="10" spans="1:20" ht="15" customHeight="1">
      <c r="A10" s="145"/>
      <c r="B10" s="235" t="s">
        <v>161</v>
      </c>
      <c r="C10" s="235"/>
      <c r="D10" s="331" t="s">
        <v>234</v>
      </c>
      <c r="E10" s="331"/>
      <c r="F10" s="331"/>
      <c r="G10" s="236"/>
      <c r="H10" s="236"/>
      <c r="I10" s="235" t="s">
        <v>162</v>
      </c>
      <c r="J10" s="189" t="s">
        <v>235</v>
      </c>
      <c r="K10" s="187"/>
      <c r="L10" s="170"/>
      <c r="N10" s="171"/>
      <c r="O10" s="160" t="s">
        <v>253</v>
      </c>
      <c r="T10" s="277"/>
    </row>
    <row r="11" spans="1:20" customFormat="1" ht="15">
      <c r="A11" s="145"/>
      <c r="B11" s="166" t="s">
        <v>143</v>
      </c>
      <c r="C11" s="166"/>
      <c r="D11" s="328" t="s">
        <v>299</v>
      </c>
      <c r="E11" s="328"/>
      <c r="F11" s="328"/>
      <c r="G11" s="172"/>
      <c r="H11" s="172"/>
      <c r="I11" s="166" t="s">
        <v>144</v>
      </c>
      <c r="J11" s="259">
        <v>3132355944</v>
      </c>
      <c r="K11" s="173"/>
      <c r="L11" s="170"/>
      <c r="T11" s="278"/>
    </row>
    <row r="12" spans="1:20" customFormat="1" ht="15" customHeight="1">
      <c r="A12" s="145"/>
      <c r="B12" s="166" t="s">
        <v>145</v>
      </c>
      <c r="C12" s="166" t="s">
        <v>146</v>
      </c>
      <c r="D12" s="204">
        <v>988527</v>
      </c>
      <c r="E12" s="174" t="s">
        <v>147</v>
      </c>
      <c r="F12" s="380">
        <v>1073193</v>
      </c>
      <c r="G12" s="380"/>
      <c r="H12" s="175"/>
      <c r="I12" s="166" t="s">
        <v>148</v>
      </c>
      <c r="J12" s="327" t="s">
        <v>300</v>
      </c>
      <c r="K12" s="327"/>
      <c r="L12" s="170"/>
      <c r="O12">
        <f>(22*100)/52</f>
        <v>42.307692307692307</v>
      </c>
    </row>
    <row r="13" spans="1:20" customFormat="1" ht="16.5" customHeight="1">
      <c r="A13" s="145"/>
      <c r="B13" s="166" t="s">
        <v>149</v>
      </c>
      <c r="C13" s="324">
        <v>1950</v>
      </c>
      <c r="D13" s="324"/>
      <c r="E13" s="325" t="s">
        <v>150</v>
      </c>
      <c r="F13" s="325"/>
      <c r="G13" s="172"/>
      <c r="H13" s="172"/>
      <c r="I13" s="176" t="s">
        <v>236</v>
      </c>
      <c r="J13" s="177">
        <v>42486</v>
      </c>
      <c r="K13" s="173"/>
      <c r="L13" s="170"/>
      <c r="N13" t="s">
        <v>252</v>
      </c>
      <c r="O13">
        <f>(22/52)*100</f>
        <v>42.307692307692307</v>
      </c>
      <c r="T13" s="279"/>
    </row>
    <row r="14" spans="1:20" customFormat="1" ht="10.5" customHeight="1" thickBot="1">
      <c r="A14" s="151"/>
      <c r="B14" s="178"/>
      <c r="C14" s="178"/>
      <c r="D14" s="178"/>
      <c r="E14" s="178"/>
      <c r="F14" s="178"/>
      <c r="G14" s="178"/>
      <c r="H14" s="178"/>
      <c r="I14" s="178"/>
      <c r="J14" s="179"/>
      <c r="K14" s="179"/>
      <c r="L14" s="180"/>
    </row>
    <row r="15" spans="1:20" ht="6" customHeight="1" thickBot="1">
      <c r="A15" s="342"/>
      <c r="B15" s="343"/>
      <c r="C15" s="343"/>
      <c r="D15" s="343"/>
      <c r="E15" s="343"/>
      <c r="F15" s="343"/>
      <c r="G15" s="343"/>
      <c r="H15" s="343"/>
      <c r="I15" s="343"/>
      <c r="J15" s="343"/>
      <c r="K15" s="343"/>
      <c r="L15" s="344"/>
      <c r="N15" s="171"/>
      <c r="T15" s="280"/>
    </row>
    <row r="16" spans="1:20" customFormat="1" ht="15.75" thickBot="1">
      <c r="A16" s="141"/>
      <c r="B16" s="332" t="s">
        <v>156</v>
      </c>
      <c r="C16" s="333"/>
      <c r="D16" s="333"/>
      <c r="E16" s="333"/>
      <c r="F16" s="333"/>
      <c r="G16" s="333"/>
      <c r="H16" s="333"/>
      <c r="I16" s="333"/>
      <c r="J16" s="333"/>
      <c r="K16" s="334"/>
      <c r="L16" s="181"/>
      <c r="O16" t="s">
        <v>251</v>
      </c>
    </row>
    <row r="17" spans="1:20" customFormat="1" ht="15">
      <c r="A17" s="141"/>
      <c r="B17" s="332" t="s">
        <v>320</v>
      </c>
      <c r="C17" s="333"/>
      <c r="D17" s="333"/>
      <c r="E17" s="333"/>
      <c r="F17" s="333"/>
      <c r="G17" s="333"/>
      <c r="H17" s="333"/>
      <c r="I17" s="333"/>
      <c r="J17" s="333"/>
      <c r="K17" s="334"/>
      <c r="L17" s="181"/>
    </row>
    <row r="18" spans="1:20" customFormat="1" ht="190.5" customHeight="1">
      <c r="A18" s="145"/>
      <c r="B18" s="335"/>
      <c r="C18" s="335"/>
      <c r="D18" s="335"/>
      <c r="E18" s="335"/>
      <c r="F18" s="335"/>
      <c r="G18" s="330"/>
      <c r="H18" s="330"/>
      <c r="I18" s="330"/>
      <c r="J18" s="330"/>
      <c r="K18" s="330"/>
      <c r="L18" s="147"/>
      <c r="T18" s="281"/>
    </row>
    <row r="19" spans="1:20" s="201" customFormat="1" ht="17.100000000000001" customHeight="1">
      <c r="A19" s="145"/>
      <c r="B19" s="329" t="s">
        <v>301</v>
      </c>
      <c r="C19" s="329"/>
      <c r="D19" s="329"/>
      <c r="E19" s="329"/>
      <c r="F19" s="329"/>
      <c r="G19" s="331" t="s">
        <v>302</v>
      </c>
      <c r="H19" s="331"/>
      <c r="I19" s="331"/>
      <c r="J19" s="331"/>
      <c r="K19" s="331"/>
      <c r="L19" s="147"/>
      <c r="T19"/>
    </row>
    <row r="20" spans="1:20" customFormat="1" ht="190.5" customHeight="1">
      <c r="A20" s="145"/>
      <c r="B20" s="329"/>
      <c r="C20" s="329"/>
      <c r="D20" s="329"/>
      <c r="E20" s="329"/>
      <c r="F20" s="329"/>
      <c r="G20" s="330"/>
      <c r="H20" s="330"/>
      <c r="I20" s="330"/>
      <c r="J20" s="330"/>
      <c r="K20" s="330"/>
      <c r="L20" s="147"/>
      <c r="T20" s="281"/>
    </row>
    <row r="21" spans="1:20" s="201" customFormat="1" ht="29.25" customHeight="1" thickBot="1">
      <c r="A21" s="145"/>
      <c r="B21" s="329" t="s">
        <v>303</v>
      </c>
      <c r="C21" s="329"/>
      <c r="D21" s="329"/>
      <c r="E21" s="329"/>
      <c r="F21" s="329"/>
      <c r="G21" s="331" t="s">
        <v>304</v>
      </c>
      <c r="H21" s="331"/>
      <c r="I21" s="331"/>
      <c r="J21" s="331"/>
      <c r="K21" s="331"/>
      <c r="L21" s="147"/>
      <c r="T21"/>
    </row>
    <row r="22" spans="1:20" customFormat="1" ht="15.75" thickBot="1">
      <c r="A22" s="353" t="s">
        <v>292</v>
      </c>
      <c r="B22" s="354"/>
      <c r="C22" s="354"/>
      <c r="D22" s="354"/>
      <c r="E22" s="354"/>
      <c r="F22" s="354"/>
      <c r="G22" s="354"/>
      <c r="H22" s="354"/>
      <c r="I22" s="354"/>
      <c r="J22" s="354"/>
      <c r="K22" s="354"/>
      <c r="L22" s="182"/>
    </row>
    <row r="23" spans="1:20" customFormat="1" ht="142.5" customHeight="1" thickBot="1">
      <c r="A23" s="398" t="s">
        <v>317</v>
      </c>
      <c r="B23" s="361"/>
      <c r="C23" s="361"/>
      <c r="D23" s="361"/>
      <c r="E23" s="361"/>
      <c r="F23" s="361"/>
      <c r="G23" s="361"/>
      <c r="H23" s="361"/>
      <c r="I23" s="361"/>
      <c r="J23" s="361"/>
      <c r="K23" s="361"/>
      <c r="L23" s="237" t="s">
        <v>197</v>
      </c>
    </row>
    <row r="24" spans="1:20" customFormat="1" ht="15.75" thickBot="1">
      <c r="A24" s="353" t="s">
        <v>293</v>
      </c>
      <c r="B24" s="354"/>
      <c r="C24" s="354"/>
      <c r="D24" s="354"/>
      <c r="E24" s="354"/>
      <c r="F24" s="354"/>
      <c r="G24" s="354"/>
      <c r="H24" s="354"/>
      <c r="I24" s="354"/>
      <c r="J24" s="354"/>
      <c r="K24" s="354"/>
      <c r="L24" s="182"/>
    </row>
    <row r="25" spans="1:20" customFormat="1" ht="221.45" customHeight="1" thickBot="1">
      <c r="A25" s="355" t="s">
        <v>306</v>
      </c>
      <c r="B25" s="356"/>
      <c r="C25" s="356"/>
      <c r="D25" s="356"/>
      <c r="E25" s="356"/>
      <c r="F25" s="356"/>
      <c r="G25" s="356"/>
      <c r="H25" s="356"/>
      <c r="I25" s="356"/>
      <c r="J25" s="356"/>
      <c r="K25" s="356"/>
      <c r="L25" s="237" t="s">
        <v>197</v>
      </c>
    </row>
    <row r="26" spans="1:20" customFormat="1" ht="16.5" thickBot="1">
      <c r="A26" s="360" t="s">
        <v>305</v>
      </c>
      <c r="B26" s="361"/>
      <c r="C26" s="361"/>
      <c r="D26" s="361"/>
      <c r="E26" s="361"/>
      <c r="F26" s="361"/>
      <c r="G26" s="361"/>
      <c r="H26" s="361"/>
      <c r="I26" s="361"/>
      <c r="J26" s="361"/>
      <c r="K26" s="361"/>
      <c r="L26" s="362"/>
    </row>
    <row r="27" spans="1:20" customFormat="1" ht="15">
      <c r="A27" s="389"/>
      <c r="B27" s="390"/>
      <c r="C27" s="390"/>
      <c r="D27" s="390"/>
      <c r="E27" s="390"/>
      <c r="F27" s="390"/>
      <c r="G27" s="390"/>
      <c r="H27" s="390"/>
      <c r="I27" s="390"/>
      <c r="J27" s="390"/>
      <c r="K27" s="390"/>
      <c r="L27" s="183"/>
    </row>
    <row r="28" spans="1:20" customFormat="1" ht="84" customHeight="1">
      <c r="A28" s="391"/>
      <c r="B28" s="392"/>
      <c r="C28" s="392"/>
      <c r="D28" s="392"/>
      <c r="E28" s="392"/>
      <c r="F28" s="392"/>
      <c r="G28" s="392"/>
      <c r="H28" s="392"/>
      <c r="I28" s="392"/>
      <c r="J28" s="392"/>
      <c r="K28" s="392"/>
      <c r="L28" s="184"/>
    </row>
    <row r="29" spans="1:20" customFormat="1" ht="84" customHeight="1">
      <c r="A29" s="391"/>
      <c r="B29" s="392"/>
      <c r="C29" s="392"/>
      <c r="D29" s="392"/>
      <c r="E29" s="392"/>
      <c r="F29" s="392"/>
      <c r="G29" s="392"/>
      <c r="H29" s="392"/>
      <c r="I29" s="392"/>
      <c r="J29" s="392"/>
      <c r="K29" s="392"/>
      <c r="L29" s="184"/>
      <c r="O29">
        <f>44-28</f>
        <v>16</v>
      </c>
    </row>
    <row r="30" spans="1:20" customFormat="1" ht="179.45" customHeight="1" thickBot="1">
      <c r="A30" s="393"/>
      <c r="B30" s="394"/>
      <c r="C30" s="394"/>
      <c r="D30" s="394"/>
      <c r="E30" s="394"/>
      <c r="F30" s="394"/>
      <c r="G30" s="394"/>
      <c r="H30" s="394"/>
      <c r="I30" s="394"/>
      <c r="J30" s="394"/>
      <c r="K30" s="394"/>
      <c r="L30" s="185"/>
    </row>
    <row r="31" spans="1:20" ht="42" customHeight="1" thickBot="1">
      <c r="A31" s="365" t="s">
        <v>307</v>
      </c>
      <c r="B31" s="366"/>
      <c r="C31" s="366"/>
      <c r="D31" s="366"/>
      <c r="E31" s="366"/>
      <c r="F31" s="366"/>
      <c r="G31" s="366"/>
      <c r="H31" s="366"/>
      <c r="I31" s="366"/>
      <c r="J31" s="366"/>
      <c r="K31" s="366"/>
      <c r="L31" s="367"/>
    </row>
    <row r="32" spans="1:20" s="186" customFormat="1" ht="17.25" customHeight="1" thickBot="1">
      <c r="A32" s="383" t="s">
        <v>151</v>
      </c>
      <c r="B32" s="384"/>
      <c r="C32" s="384"/>
      <c r="D32" s="384"/>
      <c r="E32" s="384"/>
      <c r="F32" s="384"/>
      <c r="G32" s="384"/>
      <c r="H32" s="384"/>
      <c r="I32" s="384"/>
      <c r="J32" s="384"/>
      <c r="K32" s="384"/>
      <c r="L32" s="385"/>
    </row>
    <row r="33" spans="1:256" s="186" customFormat="1" ht="119.1" customHeight="1">
      <c r="A33" s="386" t="s">
        <v>241</v>
      </c>
      <c r="B33" s="387"/>
      <c r="C33" s="387"/>
      <c r="D33" s="387"/>
      <c r="E33" s="387"/>
      <c r="F33" s="387"/>
      <c r="G33" s="387"/>
      <c r="H33" s="387"/>
      <c r="I33" s="387"/>
      <c r="J33" s="387"/>
      <c r="K33" s="387"/>
      <c r="L33" s="388"/>
    </row>
    <row r="34" spans="1:256" s="186" customFormat="1" ht="118.5" customHeight="1">
      <c r="A34" s="346" t="s">
        <v>195</v>
      </c>
      <c r="B34" s="358"/>
      <c r="C34" s="358"/>
      <c r="D34" s="358"/>
      <c r="E34" s="358"/>
      <c r="F34" s="358"/>
      <c r="G34" s="358"/>
      <c r="H34" s="358"/>
      <c r="I34" s="358"/>
      <c r="J34" s="358"/>
      <c r="K34" s="358"/>
      <c r="L34" s="359"/>
    </row>
    <row r="35" spans="1:256" s="186" customFormat="1" ht="66.75" customHeight="1">
      <c r="A35" s="346" t="s">
        <v>196</v>
      </c>
      <c r="B35" s="347"/>
      <c r="C35" s="347"/>
      <c r="D35" s="347"/>
      <c r="E35" s="347"/>
      <c r="F35" s="347"/>
      <c r="G35" s="347"/>
      <c r="H35" s="347"/>
      <c r="I35" s="347"/>
      <c r="J35" s="347"/>
      <c r="K35" s="347"/>
      <c r="L35" s="348"/>
    </row>
    <row r="36" spans="1:256" s="186" customFormat="1" ht="54.75" customHeight="1">
      <c r="A36" s="346" t="s">
        <v>242</v>
      </c>
      <c r="B36" s="358"/>
      <c r="C36" s="358"/>
      <c r="D36" s="358"/>
      <c r="E36" s="358"/>
      <c r="F36" s="358"/>
      <c r="G36" s="358"/>
      <c r="H36" s="358"/>
      <c r="I36" s="358"/>
      <c r="J36" s="358"/>
      <c r="K36" s="358"/>
      <c r="L36" s="359"/>
    </row>
    <row r="37" spans="1:256" s="186" customFormat="1" ht="45" customHeight="1">
      <c r="A37" s="346" t="s">
        <v>245</v>
      </c>
      <c r="B37" s="358"/>
      <c r="C37" s="358"/>
      <c r="D37" s="358"/>
      <c r="E37" s="358"/>
      <c r="F37" s="358"/>
      <c r="G37" s="358"/>
      <c r="H37" s="358"/>
      <c r="I37" s="358"/>
      <c r="J37" s="358"/>
      <c r="K37" s="358"/>
      <c r="L37" s="359"/>
    </row>
    <row r="38" spans="1:256" s="186" customFormat="1" ht="45.75" customHeight="1">
      <c r="A38" s="346" t="s">
        <v>152</v>
      </c>
      <c r="B38" s="358"/>
      <c r="C38" s="358"/>
      <c r="D38" s="358"/>
      <c r="E38" s="358"/>
      <c r="F38" s="358"/>
      <c r="G38" s="358"/>
      <c r="H38" s="358"/>
      <c r="I38" s="358"/>
      <c r="J38" s="358"/>
      <c r="K38" s="358"/>
      <c r="L38" s="359"/>
    </row>
    <row r="39" spans="1:256" s="186" customFormat="1" ht="191.1" customHeight="1">
      <c r="A39" s="349" t="s">
        <v>318</v>
      </c>
      <c r="B39" s="350"/>
      <c r="C39" s="350"/>
      <c r="D39" s="350"/>
      <c r="E39" s="350"/>
      <c r="F39" s="351"/>
      <c r="G39" s="352"/>
      <c r="H39" s="350"/>
      <c r="I39" s="350"/>
      <c r="J39" s="350"/>
      <c r="K39" s="351"/>
      <c r="L39" s="316"/>
    </row>
    <row r="40" spans="1:256" s="186" customFormat="1" ht="173.45" customHeight="1">
      <c r="A40" s="349" t="s">
        <v>294</v>
      </c>
      <c r="B40" s="350"/>
      <c r="C40" s="350"/>
      <c r="D40" s="350"/>
      <c r="E40" s="350"/>
      <c r="F40" s="351"/>
      <c r="G40" s="352"/>
      <c r="H40" s="350"/>
      <c r="I40" s="350"/>
      <c r="J40" s="350"/>
      <c r="K40" s="351"/>
      <c r="L40" s="316"/>
    </row>
    <row r="41" spans="1:256" s="186" customFormat="1" ht="180.95" customHeight="1">
      <c r="A41" s="349" t="s">
        <v>291</v>
      </c>
      <c r="B41" s="350"/>
      <c r="C41" s="350"/>
      <c r="D41" s="350"/>
      <c r="E41" s="350"/>
      <c r="F41" s="351"/>
      <c r="G41" s="352"/>
      <c r="H41" s="350"/>
      <c r="I41" s="350"/>
      <c r="J41" s="350"/>
      <c r="K41" s="351"/>
      <c r="L41" s="316"/>
    </row>
    <row r="42" spans="1:256" s="186" customFormat="1" ht="86.1" customHeight="1" thickBot="1">
      <c r="A42" s="395" t="s">
        <v>283</v>
      </c>
      <c r="B42" s="396"/>
      <c r="C42" s="396"/>
      <c r="D42" s="396"/>
      <c r="E42" s="396"/>
      <c r="F42" s="396"/>
      <c r="G42" s="396"/>
      <c r="H42" s="396"/>
      <c r="I42" s="396"/>
      <c r="J42" s="396"/>
      <c r="K42" s="396"/>
      <c r="L42" s="313"/>
    </row>
    <row r="43" spans="1:256" ht="17.25" customHeight="1" thickBot="1">
      <c r="A43" s="360" t="s">
        <v>153</v>
      </c>
      <c r="B43" s="361"/>
      <c r="C43" s="361"/>
      <c r="D43" s="361"/>
      <c r="E43" s="361"/>
      <c r="F43" s="361"/>
      <c r="G43" s="361"/>
      <c r="H43" s="361"/>
      <c r="I43" s="361"/>
      <c r="J43" s="361"/>
      <c r="K43" s="361"/>
      <c r="L43" s="362"/>
    </row>
    <row r="44" spans="1:256" s="186" customFormat="1" ht="15" customHeight="1">
      <c r="A44" s="303"/>
      <c r="B44" s="363" t="s">
        <v>91</v>
      </c>
      <c r="C44" s="363"/>
      <c r="D44" s="363"/>
      <c r="E44" s="363" t="s">
        <v>1</v>
      </c>
      <c r="F44" s="363"/>
      <c r="G44" s="363" t="s">
        <v>80</v>
      </c>
      <c r="H44" s="363"/>
      <c r="I44" s="304" t="s">
        <v>117</v>
      </c>
      <c r="J44" s="363" t="s">
        <v>118</v>
      </c>
      <c r="K44" s="364"/>
      <c r="L44" s="147"/>
      <c r="M44" s="187"/>
      <c r="N44" s="187"/>
      <c r="O44" s="187"/>
      <c r="P44" s="187"/>
      <c r="Q44" s="187"/>
      <c r="R44" s="187"/>
      <c r="S44" s="187"/>
      <c r="T44" s="187"/>
      <c r="U44" s="187"/>
      <c r="V44" s="187"/>
      <c r="W44" s="161"/>
      <c r="X44" s="187"/>
      <c r="Y44" s="187"/>
      <c r="Z44" s="187"/>
      <c r="AA44" s="187"/>
      <c r="AB44" s="187"/>
      <c r="AC44" s="187"/>
      <c r="AD44" s="187"/>
      <c r="AE44" s="187"/>
      <c r="AF44" s="187"/>
      <c r="AG44" s="187"/>
      <c r="AH44" s="161"/>
      <c r="AI44" s="187"/>
      <c r="AJ44" s="187"/>
      <c r="AK44" s="187"/>
      <c r="AL44" s="187"/>
      <c r="AM44" s="187"/>
      <c r="AN44" s="187"/>
      <c r="AO44" s="187"/>
      <c r="AP44" s="187"/>
      <c r="AQ44" s="187"/>
      <c r="AR44" s="187"/>
      <c r="AS44" s="161"/>
      <c r="AT44" s="187"/>
      <c r="AU44" s="187"/>
      <c r="AV44" s="187"/>
      <c r="AW44" s="187"/>
      <c r="AX44" s="187"/>
      <c r="AY44" s="187"/>
      <c r="AZ44" s="187"/>
      <c r="BA44" s="187"/>
      <c r="BB44" s="187"/>
      <c r="BC44" s="187"/>
      <c r="BD44" s="161"/>
      <c r="BE44" s="187"/>
      <c r="BF44" s="187"/>
      <c r="BG44" s="187"/>
      <c r="BH44" s="187"/>
      <c r="BI44" s="187"/>
      <c r="BJ44" s="187"/>
      <c r="BK44" s="187"/>
      <c r="BL44" s="187"/>
      <c r="BM44" s="187"/>
      <c r="BN44" s="187"/>
      <c r="BO44" s="161"/>
      <c r="BP44" s="187"/>
      <c r="BQ44" s="187"/>
      <c r="BR44" s="187"/>
      <c r="BS44" s="187"/>
      <c r="BT44" s="187"/>
      <c r="BU44" s="187"/>
      <c r="BV44" s="187"/>
      <c r="BW44" s="187"/>
      <c r="BX44" s="187"/>
      <c r="BY44" s="187"/>
      <c r="BZ44" s="161"/>
      <c r="CA44" s="187"/>
      <c r="CB44" s="187"/>
      <c r="CC44" s="187"/>
      <c r="CD44" s="187"/>
      <c r="CE44" s="187"/>
      <c r="CF44" s="187"/>
      <c r="CG44" s="187"/>
      <c r="CH44" s="187"/>
      <c r="CI44" s="187"/>
      <c r="CJ44" s="187"/>
      <c r="CK44" s="161"/>
      <c r="CL44" s="187"/>
      <c r="CM44" s="187"/>
      <c r="CN44" s="187"/>
      <c r="CO44" s="187"/>
      <c r="CP44" s="187"/>
      <c r="CQ44" s="187"/>
      <c r="CR44" s="187"/>
      <c r="CS44" s="187"/>
      <c r="CT44" s="187"/>
      <c r="CU44" s="187"/>
      <c r="CV44" s="161"/>
      <c r="CW44" s="187"/>
      <c r="CX44" s="187"/>
      <c r="CY44" s="187"/>
      <c r="CZ44" s="187"/>
      <c r="DA44" s="187"/>
      <c r="DB44" s="187"/>
      <c r="DC44" s="187"/>
      <c r="DD44" s="187"/>
      <c r="DE44" s="187"/>
      <c r="DF44" s="187"/>
      <c r="DG44" s="161"/>
      <c r="DH44" s="187"/>
      <c r="DI44" s="187"/>
      <c r="DJ44" s="187"/>
      <c r="DK44" s="187"/>
      <c r="DL44" s="187"/>
      <c r="DM44" s="187"/>
      <c r="DN44" s="187"/>
      <c r="DO44" s="187"/>
      <c r="DP44" s="187"/>
      <c r="DQ44" s="187"/>
      <c r="DR44" s="161"/>
      <c r="DS44" s="187"/>
      <c r="DT44" s="187"/>
      <c r="DU44" s="187"/>
      <c r="DV44" s="187"/>
      <c r="DW44" s="187"/>
      <c r="DX44" s="187"/>
      <c r="DY44" s="187"/>
      <c r="DZ44" s="187"/>
      <c r="EA44" s="187"/>
      <c r="EB44" s="187"/>
      <c r="EC44" s="161"/>
      <c r="ED44" s="187"/>
      <c r="EE44" s="187"/>
      <c r="EF44" s="187"/>
      <c r="EG44" s="187"/>
      <c r="EH44" s="187"/>
      <c r="EI44" s="187"/>
      <c r="EJ44" s="187"/>
      <c r="EK44" s="187"/>
      <c r="EL44" s="187"/>
      <c r="EM44" s="187"/>
      <c r="EN44" s="161"/>
      <c r="EO44" s="187"/>
      <c r="EP44" s="187"/>
      <c r="EQ44" s="187"/>
      <c r="ER44" s="187"/>
      <c r="ES44" s="187"/>
      <c r="ET44" s="187"/>
      <c r="EU44" s="187"/>
      <c r="EV44" s="187"/>
      <c r="EW44" s="187"/>
      <c r="EX44" s="187"/>
      <c r="EY44" s="161"/>
      <c r="EZ44" s="187"/>
      <c r="FA44" s="187"/>
      <c r="FB44" s="187"/>
      <c r="FC44" s="187"/>
      <c r="FD44" s="187"/>
      <c r="FE44" s="187"/>
      <c r="FF44" s="187"/>
      <c r="FG44" s="187"/>
      <c r="FH44" s="187"/>
      <c r="FI44" s="187"/>
      <c r="FJ44" s="161"/>
      <c r="FK44" s="187"/>
      <c r="FL44" s="187"/>
      <c r="FM44" s="187"/>
      <c r="FN44" s="187"/>
      <c r="FO44" s="187"/>
      <c r="FP44" s="187"/>
      <c r="FQ44" s="187"/>
      <c r="FR44" s="187"/>
      <c r="FS44" s="187"/>
      <c r="FT44" s="187"/>
      <c r="FU44" s="161"/>
      <c r="FV44" s="187"/>
      <c r="FW44" s="187"/>
      <c r="FX44" s="187"/>
      <c r="FY44" s="187"/>
      <c r="FZ44" s="187"/>
      <c r="GA44" s="187"/>
      <c r="GB44" s="187"/>
      <c r="GC44" s="187"/>
      <c r="GD44" s="187"/>
      <c r="GE44" s="187"/>
      <c r="GF44" s="161"/>
      <c r="GG44" s="187"/>
      <c r="GH44" s="187"/>
      <c r="GI44" s="187"/>
      <c r="GJ44" s="187"/>
      <c r="GK44" s="187"/>
      <c r="GL44" s="187"/>
      <c r="GM44" s="187"/>
      <c r="GN44" s="187"/>
      <c r="GO44" s="187"/>
      <c r="GP44" s="187"/>
      <c r="GQ44" s="161"/>
      <c r="GR44" s="187"/>
      <c r="GS44" s="187"/>
      <c r="GT44" s="187"/>
      <c r="GU44" s="187"/>
      <c r="GV44" s="187"/>
      <c r="GW44" s="187"/>
      <c r="GX44" s="187"/>
      <c r="GY44" s="187"/>
      <c r="GZ44" s="187"/>
      <c r="HA44" s="187"/>
      <c r="HB44" s="161"/>
      <c r="HC44" s="187"/>
      <c r="HD44" s="187"/>
      <c r="HE44" s="187"/>
      <c r="HF44" s="187"/>
      <c r="HG44" s="187"/>
      <c r="HH44" s="187"/>
      <c r="HI44" s="187"/>
      <c r="HJ44" s="187"/>
      <c r="HK44" s="187"/>
      <c r="HL44" s="187"/>
      <c r="HM44" s="161"/>
      <c r="HN44" s="187"/>
      <c r="HO44" s="187"/>
      <c r="HP44" s="187"/>
      <c r="HQ44" s="187"/>
      <c r="HR44" s="187"/>
      <c r="HS44" s="187"/>
      <c r="HT44" s="187"/>
      <c r="HU44" s="187"/>
      <c r="HV44" s="187"/>
      <c r="HW44" s="187"/>
      <c r="HX44" s="161"/>
      <c r="HY44" s="187"/>
      <c r="HZ44" s="187"/>
      <c r="IA44" s="187"/>
      <c r="IB44" s="187"/>
      <c r="IC44" s="187"/>
      <c r="ID44" s="187"/>
      <c r="IE44" s="187"/>
      <c r="IF44" s="187"/>
      <c r="IG44" s="187"/>
      <c r="IH44" s="187"/>
      <c r="II44" s="161"/>
      <c r="IJ44" s="187"/>
      <c r="IK44" s="187"/>
      <c r="IL44" s="187"/>
      <c r="IM44" s="187"/>
      <c r="IN44" s="187"/>
      <c r="IO44" s="187"/>
      <c r="IP44" s="187"/>
      <c r="IQ44" s="187"/>
      <c r="IR44" s="187"/>
      <c r="IS44" s="187"/>
      <c r="IT44" s="161"/>
      <c r="IU44" s="187"/>
      <c r="IV44" s="187"/>
    </row>
    <row r="45" spans="1:256" s="186" customFormat="1" ht="15" customHeight="1">
      <c r="A45" s="308">
        <v>1.1000000000000001</v>
      </c>
      <c r="B45" s="340" t="s">
        <v>119</v>
      </c>
      <c r="C45" s="340"/>
      <c r="D45" s="340"/>
      <c r="E45" s="341" t="s">
        <v>120</v>
      </c>
      <c r="F45" s="341"/>
      <c r="G45" s="336">
        <f>consolidado!D89</f>
        <v>30</v>
      </c>
      <c r="H45" s="337"/>
      <c r="I45" s="307">
        <f>consolidado!E5</f>
        <v>3733.3565217391306</v>
      </c>
      <c r="J45" s="338">
        <f>G45*I45</f>
        <v>112000.69565217392</v>
      </c>
      <c r="K45" s="339"/>
      <c r="L45" s="147"/>
      <c r="M45" s="187"/>
      <c r="N45" s="187"/>
      <c r="O45" s="187"/>
      <c r="P45" s="187"/>
      <c r="Q45" s="187"/>
      <c r="R45" s="187"/>
      <c r="S45" s="187"/>
      <c r="T45" s="187"/>
      <c r="U45" s="187"/>
      <c r="V45" s="187"/>
      <c r="W45" s="161"/>
      <c r="X45" s="187"/>
      <c r="Y45" s="187"/>
      <c r="Z45" s="187"/>
      <c r="AA45" s="187"/>
      <c r="AB45" s="187"/>
      <c r="AC45" s="187"/>
      <c r="AD45" s="187"/>
      <c r="AE45" s="187"/>
      <c r="AF45" s="187"/>
      <c r="AG45" s="187"/>
      <c r="AH45" s="161"/>
      <c r="AI45" s="187"/>
      <c r="AJ45" s="187"/>
      <c r="AK45" s="187"/>
      <c r="AL45" s="187"/>
      <c r="AM45" s="187"/>
      <c r="AN45" s="187"/>
      <c r="AO45" s="187"/>
      <c r="AP45" s="187"/>
      <c r="AQ45" s="187"/>
      <c r="AR45" s="187"/>
      <c r="AS45" s="161"/>
      <c r="AT45" s="187"/>
      <c r="AU45" s="187"/>
      <c r="AV45" s="187"/>
      <c r="AW45" s="187"/>
      <c r="AX45" s="187"/>
      <c r="AY45" s="187"/>
      <c r="AZ45" s="187"/>
      <c r="BA45" s="187"/>
      <c r="BB45" s="187"/>
      <c r="BC45" s="187"/>
      <c r="BD45" s="161"/>
      <c r="BE45" s="187"/>
      <c r="BF45" s="187"/>
      <c r="BG45" s="187"/>
      <c r="BH45" s="187"/>
      <c r="BI45" s="187"/>
      <c r="BJ45" s="187"/>
      <c r="BK45" s="187"/>
      <c r="BL45" s="187"/>
      <c r="BM45" s="187"/>
      <c r="BN45" s="187"/>
      <c r="BO45" s="161"/>
      <c r="BP45" s="187"/>
      <c r="BQ45" s="187"/>
      <c r="BR45" s="187"/>
      <c r="BS45" s="187"/>
      <c r="BT45" s="187"/>
      <c r="BU45" s="187"/>
      <c r="BV45" s="187"/>
      <c r="BW45" s="187"/>
      <c r="BX45" s="187"/>
      <c r="BY45" s="187"/>
      <c r="BZ45" s="161"/>
      <c r="CA45" s="187"/>
      <c r="CB45" s="187"/>
      <c r="CC45" s="187"/>
      <c r="CD45" s="187"/>
      <c r="CE45" s="187"/>
      <c r="CF45" s="187"/>
      <c r="CG45" s="187"/>
      <c r="CH45" s="187"/>
      <c r="CI45" s="187"/>
      <c r="CJ45" s="187"/>
      <c r="CK45" s="161"/>
      <c r="CL45" s="187"/>
      <c r="CM45" s="187"/>
      <c r="CN45" s="187"/>
      <c r="CO45" s="187"/>
      <c r="CP45" s="187"/>
      <c r="CQ45" s="187"/>
      <c r="CR45" s="187"/>
      <c r="CS45" s="187"/>
      <c r="CT45" s="187"/>
      <c r="CU45" s="187"/>
      <c r="CV45" s="161"/>
      <c r="CW45" s="187"/>
      <c r="CX45" s="187"/>
      <c r="CY45" s="187"/>
      <c r="CZ45" s="187"/>
      <c r="DA45" s="187"/>
      <c r="DB45" s="187"/>
      <c r="DC45" s="187"/>
      <c r="DD45" s="187"/>
      <c r="DE45" s="187"/>
      <c r="DF45" s="187"/>
      <c r="DG45" s="161"/>
      <c r="DH45" s="187"/>
      <c r="DI45" s="187"/>
      <c r="DJ45" s="187"/>
      <c r="DK45" s="187"/>
      <c r="DL45" s="187"/>
      <c r="DM45" s="187"/>
      <c r="DN45" s="187"/>
      <c r="DO45" s="187"/>
      <c r="DP45" s="187"/>
      <c r="DQ45" s="187"/>
      <c r="DR45" s="161"/>
      <c r="DS45" s="187"/>
      <c r="DT45" s="187"/>
      <c r="DU45" s="187"/>
      <c r="DV45" s="187"/>
      <c r="DW45" s="187"/>
      <c r="DX45" s="187"/>
      <c r="DY45" s="187"/>
      <c r="DZ45" s="187"/>
      <c r="EA45" s="187"/>
      <c r="EB45" s="187"/>
      <c r="EC45" s="161"/>
      <c r="ED45" s="187"/>
      <c r="EE45" s="187"/>
      <c r="EF45" s="187"/>
      <c r="EG45" s="187"/>
      <c r="EH45" s="187"/>
      <c r="EI45" s="187"/>
      <c r="EJ45" s="187"/>
      <c r="EK45" s="187"/>
      <c r="EL45" s="187"/>
      <c r="EM45" s="187"/>
      <c r="EN45" s="161"/>
      <c r="EO45" s="187"/>
      <c r="EP45" s="187"/>
      <c r="EQ45" s="187"/>
      <c r="ER45" s="187"/>
      <c r="ES45" s="187"/>
      <c r="ET45" s="187"/>
      <c r="EU45" s="187"/>
      <c r="EV45" s="187"/>
      <c r="EW45" s="187"/>
      <c r="EX45" s="187"/>
      <c r="EY45" s="161"/>
      <c r="EZ45" s="187"/>
      <c r="FA45" s="187"/>
      <c r="FB45" s="187"/>
      <c r="FC45" s="187"/>
      <c r="FD45" s="187"/>
      <c r="FE45" s="187"/>
      <c r="FF45" s="187"/>
      <c r="FG45" s="187"/>
      <c r="FH45" s="187"/>
      <c r="FI45" s="187"/>
      <c r="FJ45" s="161"/>
      <c r="FK45" s="187"/>
      <c r="FL45" s="187"/>
      <c r="FM45" s="187"/>
      <c r="FN45" s="187"/>
      <c r="FO45" s="187"/>
      <c r="FP45" s="187"/>
      <c r="FQ45" s="187"/>
      <c r="FR45" s="187"/>
      <c r="FS45" s="187"/>
      <c r="FT45" s="187"/>
      <c r="FU45" s="161"/>
      <c r="FV45" s="187"/>
      <c r="FW45" s="187"/>
      <c r="FX45" s="187"/>
      <c r="FY45" s="187"/>
      <c r="FZ45" s="187"/>
      <c r="GA45" s="187"/>
      <c r="GB45" s="187"/>
      <c r="GC45" s="187"/>
      <c r="GD45" s="187"/>
      <c r="GE45" s="187"/>
      <c r="GF45" s="161"/>
      <c r="GG45" s="187"/>
      <c r="GH45" s="187"/>
      <c r="GI45" s="187"/>
      <c r="GJ45" s="187"/>
      <c r="GK45" s="187"/>
      <c r="GL45" s="187"/>
      <c r="GM45" s="187"/>
      <c r="GN45" s="187"/>
      <c r="GO45" s="187"/>
      <c r="GP45" s="187"/>
      <c r="GQ45" s="161"/>
      <c r="GR45" s="187"/>
      <c r="GS45" s="187"/>
      <c r="GT45" s="187"/>
      <c r="GU45" s="187"/>
      <c r="GV45" s="187"/>
      <c r="GW45" s="187"/>
      <c r="GX45" s="187"/>
      <c r="GY45" s="187"/>
      <c r="GZ45" s="187"/>
      <c r="HA45" s="187"/>
      <c r="HB45" s="161"/>
      <c r="HC45" s="187"/>
      <c r="HD45" s="187"/>
      <c r="HE45" s="187"/>
      <c r="HF45" s="187"/>
      <c r="HG45" s="187"/>
      <c r="HH45" s="187"/>
      <c r="HI45" s="187"/>
      <c r="HJ45" s="187"/>
      <c r="HK45" s="187"/>
      <c r="HL45" s="187"/>
      <c r="HM45" s="161"/>
      <c r="HN45" s="187"/>
      <c r="HO45" s="187"/>
      <c r="HP45" s="187"/>
      <c r="HQ45" s="187"/>
      <c r="HR45" s="187"/>
      <c r="HS45" s="187"/>
      <c r="HT45" s="187"/>
      <c r="HU45" s="187"/>
      <c r="HV45" s="187"/>
      <c r="HW45" s="187"/>
      <c r="HX45" s="161"/>
      <c r="HY45" s="187"/>
      <c r="HZ45" s="187"/>
      <c r="IA45" s="187"/>
      <c r="IB45" s="187"/>
      <c r="IC45" s="187"/>
      <c r="ID45" s="187"/>
      <c r="IE45" s="187"/>
      <c r="IF45" s="187"/>
      <c r="IG45" s="187"/>
      <c r="IH45" s="187"/>
      <c r="II45" s="161"/>
      <c r="IJ45" s="187"/>
      <c r="IK45" s="187"/>
      <c r="IL45" s="187"/>
      <c r="IM45" s="187"/>
      <c r="IN45" s="187"/>
      <c r="IO45" s="187"/>
      <c r="IP45" s="187"/>
      <c r="IQ45" s="187"/>
      <c r="IR45" s="187"/>
      <c r="IS45" s="187"/>
      <c r="IT45" s="161"/>
      <c r="IU45" s="187"/>
      <c r="IV45" s="187"/>
    </row>
    <row r="46" spans="1:256" s="186" customFormat="1" ht="15" customHeight="1">
      <c r="A46" s="308">
        <v>1.2</v>
      </c>
      <c r="B46" s="340" t="s">
        <v>121</v>
      </c>
      <c r="C46" s="340"/>
      <c r="D46" s="340"/>
      <c r="E46" s="341" t="s">
        <v>120</v>
      </c>
      <c r="F46" s="341"/>
      <c r="G46" s="336">
        <f>consolidado!D92</f>
        <v>15</v>
      </c>
      <c r="H46" s="337"/>
      <c r="I46" s="307">
        <f>consolidado!E10</f>
        <v>67094.838434782607</v>
      </c>
      <c r="J46" s="338">
        <f t="shared" ref="J46:J56" si="0">G46*I46</f>
        <v>1006422.5765217391</v>
      </c>
      <c r="K46" s="339"/>
      <c r="L46" s="147"/>
      <c r="M46" s="187"/>
      <c r="N46" s="187"/>
      <c r="O46" s="187"/>
      <c r="P46" s="187"/>
      <c r="Q46" s="187"/>
      <c r="R46" s="187"/>
      <c r="S46" s="187"/>
      <c r="T46" s="187"/>
      <c r="U46" s="187"/>
      <c r="V46" s="187"/>
      <c r="W46" s="161"/>
      <c r="X46" s="187"/>
      <c r="Y46" s="187"/>
      <c r="Z46" s="187"/>
      <c r="AA46" s="187"/>
      <c r="AB46" s="187"/>
      <c r="AC46" s="187"/>
      <c r="AD46" s="187"/>
      <c r="AE46" s="187"/>
      <c r="AF46" s="187"/>
      <c r="AG46" s="187"/>
      <c r="AH46" s="161"/>
      <c r="AI46" s="187"/>
      <c r="AJ46" s="187"/>
      <c r="AK46" s="187"/>
      <c r="AL46" s="187"/>
      <c r="AM46" s="187"/>
      <c r="AN46" s="187"/>
      <c r="AO46" s="187"/>
      <c r="AP46" s="187"/>
      <c r="AQ46" s="187"/>
      <c r="AR46" s="187"/>
      <c r="AS46" s="161"/>
      <c r="AT46" s="187"/>
      <c r="AU46" s="187"/>
      <c r="AV46" s="187"/>
      <c r="AW46" s="187"/>
      <c r="AX46" s="187"/>
      <c r="AY46" s="187"/>
      <c r="AZ46" s="187"/>
      <c r="BA46" s="187"/>
      <c r="BB46" s="187"/>
      <c r="BC46" s="187"/>
      <c r="BD46" s="161"/>
      <c r="BE46" s="187"/>
      <c r="BF46" s="187"/>
      <c r="BG46" s="187"/>
      <c r="BH46" s="187"/>
      <c r="BI46" s="187"/>
      <c r="BJ46" s="187"/>
      <c r="BK46" s="187"/>
      <c r="BL46" s="187"/>
      <c r="BM46" s="187"/>
      <c r="BN46" s="187"/>
      <c r="BO46" s="161"/>
      <c r="BP46" s="187"/>
      <c r="BQ46" s="187"/>
      <c r="BR46" s="187"/>
      <c r="BS46" s="187"/>
      <c r="BT46" s="187"/>
      <c r="BU46" s="187"/>
      <c r="BV46" s="187"/>
      <c r="BW46" s="187"/>
      <c r="BX46" s="187"/>
      <c r="BY46" s="187"/>
      <c r="BZ46" s="161"/>
      <c r="CA46" s="187"/>
      <c r="CB46" s="187"/>
      <c r="CC46" s="187"/>
      <c r="CD46" s="187"/>
      <c r="CE46" s="187"/>
      <c r="CF46" s="187"/>
      <c r="CG46" s="187"/>
      <c r="CH46" s="187"/>
      <c r="CI46" s="187"/>
      <c r="CJ46" s="187"/>
      <c r="CK46" s="161"/>
      <c r="CL46" s="187"/>
      <c r="CM46" s="187"/>
      <c r="CN46" s="187"/>
      <c r="CO46" s="187"/>
      <c r="CP46" s="187"/>
      <c r="CQ46" s="187"/>
      <c r="CR46" s="187"/>
      <c r="CS46" s="187"/>
      <c r="CT46" s="187"/>
      <c r="CU46" s="187"/>
      <c r="CV46" s="161"/>
      <c r="CW46" s="187"/>
      <c r="CX46" s="187"/>
      <c r="CY46" s="187"/>
      <c r="CZ46" s="187"/>
      <c r="DA46" s="187"/>
      <c r="DB46" s="187"/>
      <c r="DC46" s="187"/>
      <c r="DD46" s="187"/>
      <c r="DE46" s="187"/>
      <c r="DF46" s="187"/>
      <c r="DG46" s="161"/>
      <c r="DH46" s="187"/>
      <c r="DI46" s="187"/>
      <c r="DJ46" s="187"/>
      <c r="DK46" s="187"/>
      <c r="DL46" s="187"/>
      <c r="DM46" s="187"/>
      <c r="DN46" s="187"/>
      <c r="DO46" s="187"/>
      <c r="DP46" s="187"/>
      <c r="DQ46" s="187"/>
      <c r="DR46" s="161"/>
      <c r="DS46" s="187"/>
      <c r="DT46" s="187"/>
      <c r="DU46" s="187"/>
      <c r="DV46" s="187"/>
      <c r="DW46" s="187"/>
      <c r="DX46" s="187"/>
      <c r="DY46" s="187"/>
      <c r="DZ46" s="187"/>
      <c r="EA46" s="187"/>
      <c r="EB46" s="187"/>
      <c r="EC46" s="161"/>
      <c r="ED46" s="187"/>
      <c r="EE46" s="187"/>
      <c r="EF46" s="187"/>
      <c r="EG46" s="187"/>
      <c r="EH46" s="187"/>
      <c r="EI46" s="187"/>
      <c r="EJ46" s="187"/>
      <c r="EK46" s="187"/>
      <c r="EL46" s="187"/>
      <c r="EM46" s="187"/>
      <c r="EN46" s="161"/>
      <c r="EO46" s="187"/>
      <c r="EP46" s="187"/>
      <c r="EQ46" s="187"/>
      <c r="ER46" s="187"/>
      <c r="ES46" s="187"/>
      <c r="ET46" s="187"/>
      <c r="EU46" s="187"/>
      <c r="EV46" s="187"/>
      <c r="EW46" s="187"/>
      <c r="EX46" s="187"/>
      <c r="EY46" s="161"/>
      <c r="EZ46" s="187"/>
      <c r="FA46" s="187"/>
      <c r="FB46" s="187"/>
      <c r="FC46" s="187"/>
      <c r="FD46" s="187"/>
      <c r="FE46" s="187"/>
      <c r="FF46" s="187"/>
      <c r="FG46" s="187"/>
      <c r="FH46" s="187"/>
      <c r="FI46" s="187"/>
      <c r="FJ46" s="161"/>
      <c r="FK46" s="187"/>
      <c r="FL46" s="187"/>
      <c r="FM46" s="187"/>
      <c r="FN46" s="187"/>
      <c r="FO46" s="187"/>
      <c r="FP46" s="187"/>
      <c r="FQ46" s="187"/>
      <c r="FR46" s="187"/>
      <c r="FS46" s="187"/>
      <c r="FT46" s="187"/>
      <c r="FU46" s="161"/>
      <c r="FV46" s="187"/>
      <c r="FW46" s="187"/>
      <c r="FX46" s="187"/>
      <c r="FY46" s="187"/>
      <c r="FZ46" s="187"/>
      <c r="GA46" s="187"/>
      <c r="GB46" s="187"/>
      <c r="GC46" s="187"/>
      <c r="GD46" s="187"/>
      <c r="GE46" s="187"/>
      <c r="GF46" s="161"/>
      <c r="GG46" s="187"/>
      <c r="GH46" s="187"/>
      <c r="GI46" s="187"/>
      <c r="GJ46" s="187"/>
      <c r="GK46" s="187"/>
      <c r="GL46" s="187"/>
      <c r="GM46" s="187"/>
      <c r="GN46" s="187"/>
      <c r="GO46" s="187"/>
      <c r="GP46" s="187"/>
      <c r="GQ46" s="161"/>
      <c r="GR46" s="187"/>
      <c r="GS46" s="187"/>
      <c r="GT46" s="187"/>
      <c r="GU46" s="187"/>
      <c r="GV46" s="187"/>
      <c r="GW46" s="187"/>
      <c r="GX46" s="187"/>
      <c r="GY46" s="187"/>
      <c r="GZ46" s="187"/>
      <c r="HA46" s="187"/>
      <c r="HB46" s="161"/>
      <c r="HC46" s="187"/>
      <c r="HD46" s="187"/>
      <c r="HE46" s="187"/>
      <c r="HF46" s="187"/>
      <c r="HG46" s="187"/>
      <c r="HH46" s="187"/>
      <c r="HI46" s="187"/>
      <c r="HJ46" s="187"/>
      <c r="HK46" s="187"/>
      <c r="HL46" s="187"/>
      <c r="HM46" s="161"/>
      <c r="HN46" s="187"/>
      <c r="HO46" s="187"/>
      <c r="HP46" s="187"/>
      <c r="HQ46" s="187"/>
      <c r="HR46" s="187"/>
      <c r="HS46" s="187"/>
      <c r="HT46" s="187"/>
      <c r="HU46" s="187"/>
      <c r="HV46" s="187"/>
      <c r="HW46" s="187"/>
      <c r="HX46" s="161"/>
      <c r="HY46" s="187"/>
      <c r="HZ46" s="187"/>
      <c r="IA46" s="187"/>
      <c r="IB46" s="187"/>
      <c r="IC46" s="187"/>
      <c r="ID46" s="187"/>
      <c r="IE46" s="187"/>
      <c r="IF46" s="187"/>
      <c r="IG46" s="187"/>
      <c r="IH46" s="187"/>
      <c r="II46" s="161"/>
      <c r="IJ46" s="187"/>
      <c r="IK46" s="187"/>
      <c r="IL46" s="187"/>
      <c r="IM46" s="187"/>
      <c r="IN46" s="187"/>
      <c r="IO46" s="187"/>
      <c r="IP46" s="187"/>
      <c r="IQ46" s="187"/>
      <c r="IR46" s="187"/>
      <c r="IS46" s="187"/>
      <c r="IT46" s="161"/>
      <c r="IU46" s="187"/>
      <c r="IV46" s="187"/>
    </row>
    <row r="47" spans="1:256" s="186" customFormat="1" ht="15" customHeight="1">
      <c r="A47" s="308">
        <v>1.3</v>
      </c>
      <c r="B47" s="340" t="s">
        <v>122</v>
      </c>
      <c r="C47" s="340"/>
      <c r="D47" s="340"/>
      <c r="E47" s="341" t="s">
        <v>120</v>
      </c>
      <c r="F47" s="341"/>
      <c r="G47" s="397">
        <f>consolidado!D100</f>
        <v>66.666666666666671</v>
      </c>
      <c r="H47" s="337"/>
      <c r="I47" s="307">
        <f>consolidado!E14</f>
        <v>40265.39808695652</v>
      </c>
      <c r="J47" s="338">
        <f t="shared" si="0"/>
        <v>2684359.8724637683</v>
      </c>
      <c r="K47" s="339"/>
      <c r="L47" s="147"/>
      <c r="M47" s="187"/>
      <c r="N47" s="187"/>
      <c r="O47" s="187"/>
      <c r="P47" s="187"/>
      <c r="Q47" s="187"/>
      <c r="R47" s="187"/>
      <c r="S47" s="187"/>
      <c r="T47" s="187"/>
      <c r="U47" s="187"/>
      <c r="V47" s="187"/>
      <c r="W47" s="161"/>
      <c r="X47" s="187"/>
      <c r="Y47" s="187"/>
      <c r="Z47" s="187"/>
      <c r="AA47" s="187"/>
      <c r="AB47" s="187"/>
      <c r="AC47" s="187"/>
      <c r="AD47" s="187"/>
      <c r="AE47" s="187"/>
      <c r="AF47" s="187"/>
      <c r="AG47" s="187"/>
      <c r="AH47" s="161"/>
      <c r="AI47" s="187"/>
      <c r="AJ47" s="187"/>
      <c r="AK47" s="187"/>
      <c r="AL47" s="187"/>
      <c r="AM47" s="187"/>
      <c r="AN47" s="187"/>
      <c r="AO47" s="187"/>
      <c r="AP47" s="187"/>
      <c r="AQ47" s="187"/>
      <c r="AR47" s="187"/>
      <c r="AS47" s="161"/>
      <c r="AT47" s="187"/>
      <c r="AU47" s="187"/>
      <c r="AV47" s="187"/>
      <c r="AW47" s="187"/>
      <c r="AX47" s="187"/>
      <c r="AY47" s="187"/>
      <c r="AZ47" s="187"/>
      <c r="BA47" s="187"/>
      <c r="BB47" s="187"/>
      <c r="BC47" s="187"/>
      <c r="BD47" s="161"/>
      <c r="BE47" s="187"/>
      <c r="BF47" s="187"/>
      <c r="BG47" s="187"/>
      <c r="BH47" s="187"/>
      <c r="BI47" s="187"/>
      <c r="BJ47" s="187"/>
      <c r="BK47" s="187"/>
      <c r="BL47" s="187"/>
      <c r="BM47" s="187"/>
      <c r="BN47" s="187"/>
      <c r="BO47" s="161"/>
      <c r="BP47" s="187"/>
      <c r="BQ47" s="187"/>
      <c r="BR47" s="187"/>
      <c r="BS47" s="187"/>
      <c r="BT47" s="187"/>
      <c r="BU47" s="187"/>
      <c r="BV47" s="187"/>
      <c r="BW47" s="187"/>
      <c r="BX47" s="187"/>
      <c r="BY47" s="187"/>
      <c r="BZ47" s="161"/>
      <c r="CA47" s="187"/>
      <c r="CB47" s="187"/>
      <c r="CC47" s="187"/>
      <c r="CD47" s="187"/>
      <c r="CE47" s="187"/>
      <c r="CF47" s="187"/>
      <c r="CG47" s="187"/>
      <c r="CH47" s="187"/>
      <c r="CI47" s="187"/>
      <c r="CJ47" s="187"/>
      <c r="CK47" s="161"/>
      <c r="CL47" s="187"/>
      <c r="CM47" s="187"/>
      <c r="CN47" s="187"/>
      <c r="CO47" s="187"/>
      <c r="CP47" s="187"/>
      <c r="CQ47" s="187"/>
      <c r="CR47" s="187"/>
      <c r="CS47" s="187"/>
      <c r="CT47" s="187"/>
      <c r="CU47" s="187"/>
      <c r="CV47" s="161"/>
      <c r="CW47" s="187"/>
      <c r="CX47" s="187"/>
      <c r="CY47" s="187"/>
      <c r="CZ47" s="187"/>
      <c r="DA47" s="187"/>
      <c r="DB47" s="187"/>
      <c r="DC47" s="187"/>
      <c r="DD47" s="187"/>
      <c r="DE47" s="187"/>
      <c r="DF47" s="187"/>
      <c r="DG47" s="161"/>
      <c r="DH47" s="187"/>
      <c r="DI47" s="187"/>
      <c r="DJ47" s="187"/>
      <c r="DK47" s="187"/>
      <c r="DL47" s="187"/>
      <c r="DM47" s="187"/>
      <c r="DN47" s="187"/>
      <c r="DO47" s="187"/>
      <c r="DP47" s="187"/>
      <c r="DQ47" s="187"/>
      <c r="DR47" s="161"/>
      <c r="DS47" s="187"/>
      <c r="DT47" s="187"/>
      <c r="DU47" s="187"/>
      <c r="DV47" s="187"/>
      <c r="DW47" s="187"/>
      <c r="DX47" s="187"/>
      <c r="DY47" s="187"/>
      <c r="DZ47" s="187"/>
      <c r="EA47" s="187"/>
      <c r="EB47" s="187"/>
      <c r="EC47" s="161"/>
      <c r="ED47" s="187"/>
      <c r="EE47" s="187"/>
      <c r="EF47" s="187"/>
      <c r="EG47" s="187"/>
      <c r="EH47" s="187"/>
      <c r="EI47" s="187"/>
      <c r="EJ47" s="187"/>
      <c r="EK47" s="187"/>
      <c r="EL47" s="187"/>
      <c r="EM47" s="187"/>
      <c r="EN47" s="161"/>
      <c r="EO47" s="187"/>
      <c r="EP47" s="187"/>
      <c r="EQ47" s="187"/>
      <c r="ER47" s="187"/>
      <c r="ES47" s="187"/>
      <c r="ET47" s="187"/>
      <c r="EU47" s="187"/>
      <c r="EV47" s="187"/>
      <c r="EW47" s="187"/>
      <c r="EX47" s="187"/>
      <c r="EY47" s="161"/>
      <c r="EZ47" s="187"/>
      <c r="FA47" s="187"/>
      <c r="FB47" s="187"/>
      <c r="FC47" s="187"/>
      <c r="FD47" s="187"/>
      <c r="FE47" s="187"/>
      <c r="FF47" s="187"/>
      <c r="FG47" s="187"/>
      <c r="FH47" s="187"/>
      <c r="FI47" s="187"/>
      <c r="FJ47" s="161"/>
      <c r="FK47" s="187"/>
      <c r="FL47" s="187"/>
      <c r="FM47" s="187"/>
      <c r="FN47" s="187"/>
      <c r="FO47" s="187"/>
      <c r="FP47" s="187"/>
      <c r="FQ47" s="187"/>
      <c r="FR47" s="187"/>
      <c r="FS47" s="187"/>
      <c r="FT47" s="187"/>
      <c r="FU47" s="161"/>
      <c r="FV47" s="187"/>
      <c r="FW47" s="187"/>
      <c r="FX47" s="187"/>
      <c r="FY47" s="187"/>
      <c r="FZ47" s="187"/>
      <c r="GA47" s="187"/>
      <c r="GB47" s="187"/>
      <c r="GC47" s="187"/>
      <c r="GD47" s="187"/>
      <c r="GE47" s="187"/>
      <c r="GF47" s="161"/>
      <c r="GG47" s="187"/>
      <c r="GH47" s="187"/>
      <c r="GI47" s="187"/>
      <c r="GJ47" s="187"/>
      <c r="GK47" s="187"/>
      <c r="GL47" s="187"/>
      <c r="GM47" s="187"/>
      <c r="GN47" s="187"/>
      <c r="GO47" s="187"/>
      <c r="GP47" s="187"/>
      <c r="GQ47" s="161"/>
      <c r="GR47" s="187"/>
      <c r="GS47" s="187"/>
      <c r="GT47" s="187"/>
      <c r="GU47" s="187"/>
      <c r="GV47" s="187"/>
      <c r="GW47" s="187"/>
      <c r="GX47" s="187"/>
      <c r="GY47" s="187"/>
      <c r="GZ47" s="187"/>
      <c r="HA47" s="187"/>
      <c r="HB47" s="161"/>
      <c r="HC47" s="187"/>
      <c r="HD47" s="187"/>
      <c r="HE47" s="187"/>
      <c r="HF47" s="187"/>
      <c r="HG47" s="187"/>
      <c r="HH47" s="187"/>
      <c r="HI47" s="187"/>
      <c r="HJ47" s="187"/>
      <c r="HK47" s="187"/>
      <c r="HL47" s="187"/>
      <c r="HM47" s="161"/>
      <c r="HN47" s="187"/>
      <c r="HO47" s="187"/>
      <c r="HP47" s="187"/>
      <c r="HQ47" s="187"/>
      <c r="HR47" s="187"/>
      <c r="HS47" s="187"/>
      <c r="HT47" s="187"/>
      <c r="HU47" s="187"/>
      <c r="HV47" s="187"/>
      <c r="HW47" s="187"/>
      <c r="HX47" s="161"/>
      <c r="HY47" s="187"/>
      <c r="HZ47" s="187"/>
      <c r="IA47" s="187"/>
      <c r="IB47" s="187"/>
      <c r="IC47" s="187"/>
      <c r="ID47" s="187"/>
      <c r="IE47" s="187"/>
      <c r="IF47" s="187"/>
      <c r="IG47" s="187"/>
      <c r="IH47" s="187"/>
      <c r="II47" s="161"/>
      <c r="IJ47" s="187"/>
      <c r="IK47" s="187"/>
      <c r="IL47" s="187"/>
      <c r="IM47" s="187"/>
      <c r="IN47" s="187"/>
      <c r="IO47" s="187"/>
      <c r="IP47" s="187"/>
      <c r="IQ47" s="187"/>
      <c r="IR47" s="187"/>
      <c r="IS47" s="187"/>
      <c r="IT47" s="161"/>
      <c r="IU47" s="187"/>
      <c r="IV47" s="187"/>
    </row>
    <row r="48" spans="1:256" s="186" customFormat="1" ht="28.15" customHeight="1">
      <c r="A48" s="308">
        <v>1.4</v>
      </c>
      <c r="B48" s="340" t="s">
        <v>123</v>
      </c>
      <c r="C48" s="340"/>
      <c r="D48" s="340"/>
      <c r="E48" s="341" t="s">
        <v>120</v>
      </c>
      <c r="F48" s="341"/>
      <c r="G48" s="336">
        <f>consolidado!D108</f>
        <v>22</v>
      </c>
      <c r="H48" s="337"/>
      <c r="I48" s="307">
        <f>consolidado!E18</f>
        <v>69510.729630434769</v>
      </c>
      <c r="J48" s="338">
        <f t="shared" si="0"/>
        <v>1529236.0518695649</v>
      </c>
      <c r="K48" s="339"/>
      <c r="L48" s="147"/>
      <c r="M48" s="187"/>
      <c r="N48" s="187"/>
      <c r="O48" s="187"/>
      <c r="P48" s="187"/>
      <c r="Q48" s="187"/>
      <c r="R48" s="187"/>
      <c r="S48" s="187"/>
      <c r="T48" s="187"/>
      <c r="U48" s="187"/>
      <c r="V48" s="187"/>
      <c r="W48" s="161"/>
      <c r="X48" s="187"/>
      <c r="Y48" s="187"/>
      <c r="Z48" s="187"/>
      <c r="AA48" s="187"/>
      <c r="AB48" s="187"/>
      <c r="AC48" s="187"/>
      <c r="AD48" s="187"/>
      <c r="AE48" s="187"/>
      <c r="AF48" s="187"/>
      <c r="AG48" s="187"/>
      <c r="AH48" s="161"/>
      <c r="AI48" s="187"/>
      <c r="AJ48" s="187"/>
      <c r="AK48" s="187"/>
      <c r="AL48" s="187"/>
      <c r="AM48" s="187"/>
      <c r="AN48" s="187"/>
      <c r="AO48" s="187"/>
      <c r="AP48" s="187"/>
      <c r="AQ48" s="187"/>
      <c r="AR48" s="187"/>
      <c r="AS48" s="161"/>
      <c r="AT48" s="187"/>
      <c r="AU48" s="187"/>
      <c r="AV48" s="187"/>
      <c r="AW48" s="187"/>
      <c r="AX48" s="187"/>
      <c r="AY48" s="187"/>
      <c r="AZ48" s="187"/>
      <c r="BA48" s="187"/>
      <c r="BB48" s="187"/>
      <c r="BC48" s="187"/>
      <c r="BD48" s="161"/>
      <c r="BE48" s="187"/>
      <c r="BF48" s="187"/>
      <c r="BG48" s="187"/>
      <c r="BH48" s="187"/>
      <c r="BI48" s="187"/>
      <c r="BJ48" s="187"/>
      <c r="BK48" s="187"/>
      <c r="BL48" s="187"/>
      <c r="BM48" s="187"/>
      <c r="BN48" s="187"/>
      <c r="BO48" s="161"/>
      <c r="BP48" s="187"/>
      <c r="BQ48" s="187"/>
      <c r="BR48" s="187"/>
      <c r="BS48" s="187"/>
      <c r="BT48" s="187"/>
      <c r="BU48" s="187"/>
      <c r="BV48" s="187"/>
      <c r="BW48" s="187"/>
      <c r="BX48" s="187"/>
      <c r="BY48" s="187"/>
      <c r="BZ48" s="161"/>
      <c r="CA48" s="187"/>
      <c r="CB48" s="187"/>
      <c r="CC48" s="187"/>
      <c r="CD48" s="187"/>
      <c r="CE48" s="187"/>
      <c r="CF48" s="187"/>
      <c r="CG48" s="187"/>
      <c r="CH48" s="187"/>
      <c r="CI48" s="187"/>
      <c r="CJ48" s="187"/>
      <c r="CK48" s="161"/>
      <c r="CL48" s="187"/>
      <c r="CM48" s="187"/>
      <c r="CN48" s="187"/>
      <c r="CO48" s="187"/>
      <c r="CP48" s="187"/>
      <c r="CQ48" s="187"/>
      <c r="CR48" s="187"/>
      <c r="CS48" s="187"/>
      <c r="CT48" s="187"/>
      <c r="CU48" s="187"/>
      <c r="CV48" s="161"/>
      <c r="CW48" s="187"/>
      <c r="CX48" s="187"/>
      <c r="CY48" s="187"/>
      <c r="CZ48" s="187"/>
      <c r="DA48" s="187"/>
      <c r="DB48" s="187"/>
      <c r="DC48" s="187"/>
      <c r="DD48" s="187"/>
      <c r="DE48" s="187"/>
      <c r="DF48" s="187"/>
      <c r="DG48" s="161"/>
      <c r="DH48" s="187"/>
      <c r="DI48" s="187"/>
      <c r="DJ48" s="187"/>
      <c r="DK48" s="187"/>
      <c r="DL48" s="187"/>
      <c r="DM48" s="187"/>
      <c r="DN48" s="187"/>
      <c r="DO48" s="187"/>
      <c r="DP48" s="187"/>
      <c r="DQ48" s="187"/>
      <c r="DR48" s="161"/>
      <c r="DS48" s="187"/>
      <c r="DT48" s="187"/>
      <c r="DU48" s="187"/>
      <c r="DV48" s="187"/>
      <c r="DW48" s="187"/>
      <c r="DX48" s="187"/>
      <c r="DY48" s="187"/>
      <c r="DZ48" s="187"/>
      <c r="EA48" s="187"/>
      <c r="EB48" s="187"/>
      <c r="EC48" s="161"/>
      <c r="ED48" s="187"/>
      <c r="EE48" s="187"/>
      <c r="EF48" s="187"/>
      <c r="EG48" s="187"/>
      <c r="EH48" s="187"/>
      <c r="EI48" s="187"/>
      <c r="EJ48" s="187"/>
      <c r="EK48" s="187"/>
      <c r="EL48" s="187"/>
      <c r="EM48" s="187"/>
      <c r="EN48" s="161"/>
      <c r="EO48" s="187"/>
      <c r="EP48" s="187"/>
      <c r="EQ48" s="187"/>
      <c r="ER48" s="187"/>
      <c r="ES48" s="187"/>
      <c r="ET48" s="187"/>
      <c r="EU48" s="187"/>
      <c r="EV48" s="187"/>
      <c r="EW48" s="187"/>
      <c r="EX48" s="187"/>
      <c r="EY48" s="161"/>
      <c r="EZ48" s="187"/>
      <c r="FA48" s="187"/>
      <c r="FB48" s="187"/>
      <c r="FC48" s="187"/>
      <c r="FD48" s="187"/>
      <c r="FE48" s="187"/>
      <c r="FF48" s="187"/>
      <c r="FG48" s="187"/>
      <c r="FH48" s="187"/>
      <c r="FI48" s="187"/>
      <c r="FJ48" s="161"/>
      <c r="FK48" s="187"/>
      <c r="FL48" s="187"/>
      <c r="FM48" s="187"/>
      <c r="FN48" s="187"/>
      <c r="FO48" s="187"/>
      <c r="FP48" s="187"/>
      <c r="FQ48" s="187"/>
      <c r="FR48" s="187"/>
      <c r="FS48" s="187"/>
      <c r="FT48" s="187"/>
      <c r="FU48" s="161"/>
      <c r="FV48" s="187"/>
      <c r="FW48" s="187"/>
      <c r="FX48" s="187"/>
      <c r="FY48" s="187"/>
      <c r="FZ48" s="187"/>
      <c r="GA48" s="187"/>
      <c r="GB48" s="187"/>
      <c r="GC48" s="187"/>
      <c r="GD48" s="187"/>
      <c r="GE48" s="187"/>
      <c r="GF48" s="161"/>
      <c r="GG48" s="187"/>
      <c r="GH48" s="187"/>
      <c r="GI48" s="187"/>
      <c r="GJ48" s="187"/>
      <c r="GK48" s="187"/>
      <c r="GL48" s="187"/>
      <c r="GM48" s="187"/>
      <c r="GN48" s="187"/>
      <c r="GO48" s="187"/>
      <c r="GP48" s="187"/>
      <c r="GQ48" s="161"/>
      <c r="GR48" s="187"/>
      <c r="GS48" s="187"/>
      <c r="GT48" s="187"/>
      <c r="GU48" s="187"/>
      <c r="GV48" s="187"/>
      <c r="GW48" s="187"/>
      <c r="GX48" s="187"/>
      <c r="GY48" s="187"/>
      <c r="GZ48" s="187"/>
      <c r="HA48" s="187"/>
      <c r="HB48" s="161"/>
      <c r="HC48" s="187"/>
      <c r="HD48" s="187"/>
      <c r="HE48" s="187"/>
      <c r="HF48" s="187"/>
      <c r="HG48" s="187"/>
      <c r="HH48" s="187"/>
      <c r="HI48" s="187"/>
      <c r="HJ48" s="187"/>
      <c r="HK48" s="187"/>
      <c r="HL48" s="187"/>
      <c r="HM48" s="161"/>
      <c r="HN48" s="187"/>
      <c r="HO48" s="187"/>
      <c r="HP48" s="187"/>
      <c r="HQ48" s="187"/>
      <c r="HR48" s="187"/>
      <c r="HS48" s="187"/>
      <c r="HT48" s="187"/>
      <c r="HU48" s="187"/>
      <c r="HV48" s="187"/>
      <c r="HW48" s="187"/>
      <c r="HX48" s="161"/>
      <c r="HY48" s="187"/>
      <c r="HZ48" s="187"/>
      <c r="IA48" s="187"/>
      <c r="IB48" s="187"/>
      <c r="IC48" s="187"/>
      <c r="ID48" s="187"/>
      <c r="IE48" s="187"/>
      <c r="IF48" s="187"/>
      <c r="IG48" s="187"/>
      <c r="IH48" s="187"/>
      <c r="II48" s="161"/>
      <c r="IJ48" s="187"/>
      <c r="IK48" s="187"/>
      <c r="IL48" s="187"/>
      <c r="IM48" s="187"/>
      <c r="IN48" s="187"/>
      <c r="IO48" s="187"/>
      <c r="IP48" s="187"/>
      <c r="IQ48" s="187"/>
      <c r="IR48" s="187"/>
      <c r="IS48" s="187"/>
      <c r="IT48" s="161"/>
      <c r="IU48" s="187"/>
      <c r="IV48" s="187"/>
    </row>
    <row r="49" spans="1:256" s="186" customFormat="1" ht="28.15" customHeight="1">
      <c r="A49" s="308">
        <v>1.5</v>
      </c>
      <c r="B49" s="340" t="s">
        <v>124</v>
      </c>
      <c r="C49" s="340"/>
      <c r="D49" s="340"/>
      <c r="E49" s="341" t="s">
        <v>120</v>
      </c>
      <c r="F49" s="341"/>
      <c r="G49" s="336">
        <f>consolidado!D117</f>
        <v>18</v>
      </c>
      <c r="H49" s="337"/>
      <c r="I49" s="307">
        <f>consolidado!E22</f>
        <v>27004.511304347827</v>
      </c>
      <c r="J49" s="338">
        <f t="shared" si="0"/>
        <v>486081.2034782609</v>
      </c>
      <c r="K49" s="339"/>
      <c r="L49" s="147"/>
      <c r="M49" s="187"/>
      <c r="N49" s="187"/>
      <c r="O49" s="187"/>
      <c r="P49" s="187"/>
      <c r="Q49" s="187"/>
      <c r="R49" s="187"/>
      <c r="S49" s="187"/>
      <c r="T49" s="187"/>
      <c r="U49" s="187"/>
      <c r="V49" s="187"/>
      <c r="W49" s="161"/>
      <c r="X49" s="187"/>
      <c r="Y49" s="187"/>
      <c r="Z49" s="187"/>
      <c r="AA49" s="187"/>
      <c r="AB49" s="187"/>
      <c r="AC49" s="187"/>
      <c r="AD49" s="187"/>
      <c r="AE49" s="187"/>
      <c r="AF49" s="187"/>
      <c r="AG49" s="187"/>
      <c r="AH49" s="161"/>
      <c r="AI49" s="187"/>
      <c r="AJ49" s="187"/>
      <c r="AK49" s="187"/>
      <c r="AL49" s="187"/>
      <c r="AM49" s="187"/>
      <c r="AN49" s="187"/>
      <c r="AO49" s="187"/>
      <c r="AP49" s="187"/>
      <c r="AQ49" s="187"/>
      <c r="AR49" s="187"/>
      <c r="AS49" s="161"/>
      <c r="AT49" s="187"/>
      <c r="AU49" s="187"/>
      <c r="AV49" s="187"/>
      <c r="AW49" s="187"/>
      <c r="AX49" s="187"/>
      <c r="AY49" s="187"/>
      <c r="AZ49" s="187"/>
      <c r="BA49" s="187"/>
      <c r="BB49" s="187"/>
      <c r="BC49" s="187"/>
      <c r="BD49" s="161"/>
      <c r="BE49" s="187"/>
      <c r="BF49" s="187"/>
      <c r="BG49" s="187"/>
      <c r="BH49" s="187"/>
      <c r="BI49" s="187"/>
      <c r="BJ49" s="187"/>
      <c r="BK49" s="187"/>
      <c r="BL49" s="187"/>
      <c r="BM49" s="187"/>
      <c r="BN49" s="187"/>
      <c r="BO49" s="161"/>
      <c r="BP49" s="187"/>
      <c r="BQ49" s="187"/>
      <c r="BR49" s="187"/>
      <c r="BS49" s="187"/>
      <c r="BT49" s="187"/>
      <c r="BU49" s="187"/>
      <c r="BV49" s="187"/>
      <c r="BW49" s="187"/>
      <c r="BX49" s="187"/>
      <c r="BY49" s="187"/>
      <c r="BZ49" s="161"/>
      <c r="CA49" s="187"/>
      <c r="CB49" s="187"/>
      <c r="CC49" s="187"/>
      <c r="CD49" s="187"/>
      <c r="CE49" s="187"/>
      <c r="CF49" s="187"/>
      <c r="CG49" s="187"/>
      <c r="CH49" s="187"/>
      <c r="CI49" s="187"/>
      <c r="CJ49" s="187"/>
      <c r="CK49" s="161"/>
      <c r="CL49" s="187"/>
      <c r="CM49" s="187"/>
      <c r="CN49" s="187"/>
      <c r="CO49" s="187"/>
      <c r="CP49" s="187"/>
      <c r="CQ49" s="187"/>
      <c r="CR49" s="187"/>
      <c r="CS49" s="187"/>
      <c r="CT49" s="187"/>
      <c r="CU49" s="187"/>
      <c r="CV49" s="161"/>
      <c r="CW49" s="187"/>
      <c r="CX49" s="187"/>
      <c r="CY49" s="187"/>
      <c r="CZ49" s="187"/>
      <c r="DA49" s="187"/>
      <c r="DB49" s="187"/>
      <c r="DC49" s="187"/>
      <c r="DD49" s="187"/>
      <c r="DE49" s="187"/>
      <c r="DF49" s="187"/>
      <c r="DG49" s="161"/>
      <c r="DH49" s="187"/>
      <c r="DI49" s="187"/>
      <c r="DJ49" s="187"/>
      <c r="DK49" s="187"/>
      <c r="DL49" s="187"/>
      <c r="DM49" s="187"/>
      <c r="DN49" s="187"/>
      <c r="DO49" s="187"/>
      <c r="DP49" s="187"/>
      <c r="DQ49" s="187"/>
      <c r="DR49" s="161"/>
      <c r="DS49" s="187"/>
      <c r="DT49" s="187"/>
      <c r="DU49" s="187"/>
      <c r="DV49" s="187"/>
      <c r="DW49" s="187"/>
      <c r="DX49" s="187"/>
      <c r="DY49" s="187"/>
      <c r="DZ49" s="187"/>
      <c r="EA49" s="187"/>
      <c r="EB49" s="187"/>
      <c r="EC49" s="161"/>
      <c r="ED49" s="187"/>
      <c r="EE49" s="187"/>
      <c r="EF49" s="187"/>
      <c r="EG49" s="187"/>
      <c r="EH49" s="187"/>
      <c r="EI49" s="187"/>
      <c r="EJ49" s="187"/>
      <c r="EK49" s="187"/>
      <c r="EL49" s="187"/>
      <c r="EM49" s="187"/>
      <c r="EN49" s="161"/>
      <c r="EO49" s="187"/>
      <c r="EP49" s="187"/>
      <c r="EQ49" s="187"/>
      <c r="ER49" s="187"/>
      <c r="ES49" s="187"/>
      <c r="ET49" s="187"/>
      <c r="EU49" s="187"/>
      <c r="EV49" s="187"/>
      <c r="EW49" s="187"/>
      <c r="EX49" s="187"/>
      <c r="EY49" s="161"/>
      <c r="EZ49" s="187"/>
      <c r="FA49" s="187"/>
      <c r="FB49" s="187"/>
      <c r="FC49" s="187"/>
      <c r="FD49" s="187"/>
      <c r="FE49" s="187"/>
      <c r="FF49" s="187"/>
      <c r="FG49" s="187"/>
      <c r="FH49" s="187"/>
      <c r="FI49" s="187"/>
      <c r="FJ49" s="161"/>
      <c r="FK49" s="187"/>
      <c r="FL49" s="187"/>
      <c r="FM49" s="187"/>
      <c r="FN49" s="187"/>
      <c r="FO49" s="187"/>
      <c r="FP49" s="187"/>
      <c r="FQ49" s="187"/>
      <c r="FR49" s="187"/>
      <c r="FS49" s="187"/>
      <c r="FT49" s="187"/>
      <c r="FU49" s="161"/>
      <c r="FV49" s="187"/>
      <c r="FW49" s="187"/>
      <c r="FX49" s="187"/>
      <c r="FY49" s="187"/>
      <c r="FZ49" s="187"/>
      <c r="GA49" s="187"/>
      <c r="GB49" s="187"/>
      <c r="GC49" s="187"/>
      <c r="GD49" s="187"/>
      <c r="GE49" s="187"/>
      <c r="GF49" s="161"/>
      <c r="GG49" s="187"/>
      <c r="GH49" s="187"/>
      <c r="GI49" s="187"/>
      <c r="GJ49" s="187"/>
      <c r="GK49" s="187"/>
      <c r="GL49" s="187"/>
      <c r="GM49" s="187"/>
      <c r="GN49" s="187"/>
      <c r="GO49" s="187"/>
      <c r="GP49" s="187"/>
      <c r="GQ49" s="161"/>
      <c r="GR49" s="187"/>
      <c r="GS49" s="187"/>
      <c r="GT49" s="187"/>
      <c r="GU49" s="187"/>
      <c r="GV49" s="187"/>
      <c r="GW49" s="187"/>
      <c r="GX49" s="187"/>
      <c r="GY49" s="187"/>
      <c r="GZ49" s="187"/>
      <c r="HA49" s="187"/>
      <c r="HB49" s="161"/>
      <c r="HC49" s="187"/>
      <c r="HD49" s="187"/>
      <c r="HE49" s="187"/>
      <c r="HF49" s="187"/>
      <c r="HG49" s="187"/>
      <c r="HH49" s="187"/>
      <c r="HI49" s="187"/>
      <c r="HJ49" s="187"/>
      <c r="HK49" s="187"/>
      <c r="HL49" s="187"/>
      <c r="HM49" s="161"/>
      <c r="HN49" s="187"/>
      <c r="HO49" s="187"/>
      <c r="HP49" s="187"/>
      <c r="HQ49" s="187"/>
      <c r="HR49" s="187"/>
      <c r="HS49" s="187"/>
      <c r="HT49" s="187"/>
      <c r="HU49" s="187"/>
      <c r="HV49" s="187"/>
      <c r="HW49" s="187"/>
      <c r="HX49" s="161"/>
      <c r="HY49" s="187"/>
      <c r="HZ49" s="187"/>
      <c r="IA49" s="187"/>
      <c r="IB49" s="187"/>
      <c r="IC49" s="187"/>
      <c r="ID49" s="187"/>
      <c r="IE49" s="187"/>
      <c r="IF49" s="187"/>
      <c r="IG49" s="187"/>
      <c r="IH49" s="187"/>
      <c r="II49" s="161"/>
      <c r="IJ49" s="187"/>
      <c r="IK49" s="187"/>
      <c r="IL49" s="187"/>
      <c r="IM49" s="187"/>
      <c r="IN49" s="187"/>
      <c r="IO49" s="187"/>
      <c r="IP49" s="187"/>
      <c r="IQ49" s="187"/>
      <c r="IR49" s="187"/>
      <c r="IS49" s="187"/>
      <c r="IT49" s="161"/>
      <c r="IU49" s="187"/>
      <c r="IV49" s="187"/>
    </row>
    <row r="50" spans="1:256" s="186" customFormat="1" ht="15" customHeight="1">
      <c r="A50" s="308">
        <v>1.6</v>
      </c>
      <c r="B50" s="340" t="s">
        <v>125</v>
      </c>
      <c r="C50" s="340"/>
      <c r="D50" s="340"/>
      <c r="E50" s="341" t="s">
        <v>120</v>
      </c>
      <c r="F50" s="341"/>
      <c r="G50" s="336">
        <f>consolidado!D126</f>
        <v>250</v>
      </c>
      <c r="H50" s="337"/>
      <c r="I50" s="307">
        <f>consolidado!E26</f>
        <v>48998.597316770189</v>
      </c>
      <c r="J50" s="338">
        <f t="shared" si="0"/>
        <v>12249649.329192547</v>
      </c>
      <c r="K50" s="339"/>
      <c r="L50" s="147"/>
      <c r="M50" s="187"/>
      <c r="N50" s="187"/>
      <c r="O50" s="187"/>
      <c r="P50" s="187"/>
      <c r="Q50" s="187"/>
      <c r="R50" s="187"/>
      <c r="S50" s="187"/>
      <c r="T50" s="187"/>
      <c r="U50" s="187"/>
      <c r="V50" s="187"/>
      <c r="W50" s="161"/>
      <c r="X50" s="187"/>
      <c r="Y50" s="187"/>
      <c r="Z50" s="187"/>
      <c r="AA50" s="187"/>
      <c r="AB50" s="187"/>
      <c r="AC50" s="187"/>
      <c r="AD50" s="187"/>
      <c r="AE50" s="187"/>
      <c r="AF50" s="187"/>
      <c r="AG50" s="187"/>
      <c r="AH50" s="161"/>
      <c r="AI50" s="187"/>
      <c r="AJ50" s="187"/>
      <c r="AK50" s="187"/>
      <c r="AL50" s="187"/>
      <c r="AM50" s="187"/>
      <c r="AN50" s="187"/>
      <c r="AO50" s="187"/>
      <c r="AP50" s="187"/>
      <c r="AQ50" s="187"/>
      <c r="AR50" s="187"/>
      <c r="AS50" s="161"/>
      <c r="AT50" s="187"/>
      <c r="AU50" s="187"/>
      <c r="AV50" s="187"/>
      <c r="AW50" s="187"/>
      <c r="AX50" s="187"/>
      <c r="AY50" s="187"/>
      <c r="AZ50" s="187"/>
      <c r="BA50" s="187"/>
      <c r="BB50" s="187"/>
      <c r="BC50" s="187"/>
      <c r="BD50" s="161"/>
      <c r="BE50" s="187"/>
      <c r="BF50" s="187"/>
      <c r="BG50" s="187"/>
      <c r="BH50" s="187"/>
      <c r="BI50" s="187"/>
      <c r="BJ50" s="187"/>
      <c r="BK50" s="187"/>
      <c r="BL50" s="187"/>
      <c r="BM50" s="187"/>
      <c r="BN50" s="187"/>
      <c r="BO50" s="161"/>
      <c r="BP50" s="187"/>
      <c r="BQ50" s="187"/>
      <c r="BR50" s="187"/>
      <c r="BS50" s="187"/>
      <c r="BT50" s="187"/>
      <c r="BU50" s="187"/>
      <c r="BV50" s="187"/>
      <c r="BW50" s="187"/>
      <c r="BX50" s="187"/>
      <c r="BY50" s="187"/>
      <c r="BZ50" s="161"/>
      <c r="CA50" s="187"/>
      <c r="CB50" s="187"/>
      <c r="CC50" s="187"/>
      <c r="CD50" s="187"/>
      <c r="CE50" s="187"/>
      <c r="CF50" s="187"/>
      <c r="CG50" s="187"/>
      <c r="CH50" s="187"/>
      <c r="CI50" s="187"/>
      <c r="CJ50" s="187"/>
      <c r="CK50" s="161"/>
      <c r="CL50" s="187"/>
      <c r="CM50" s="187"/>
      <c r="CN50" s="187"/>
      <c r="CO50" s="187"/>
      <c r="CP50" s="187"/>
      <c r="CQ50" s="187"/>
      <c r="CR50" s="187"/>
      <c r="CS50" s="187"/>
      <c r="CT50" s="187"/>
      <c r="CU50" s="187"/>
      <c r="CV50" s="161"/>
      <c r="CW50" s="187"/>
      <c r="CX50" s="187"/>
      <c r="CY50" s="187"/>
      <c r="CZ50" s="187"/>
      <c r="DA50" s="187"/>
      <c r="DB50" s="187"/>
      <c r="DC50" s="187"/>
      <c r="DD50" s="187"/>
      <c r="DE50" s="187"/>
      <c r="DF50" s="187"/>
      <c r="DG50" s="161"/>
      <c r="DH50" s="187"/>
      <c r="DI50" s="187"/>
      <c r="DJ50" s="187"/>
      <c r="DK50" s="187"/>
      <c r="DL50" s="187"/>
      <c r="DM50" s="187"/>
      <c r="DN50" s="187"/>
      <c r="DO50" s="187"/>
      <c r="DP50" s="187"/>
      <c r="DQ50" s="187"/>
      <c r="DR50" s="161"/>
      <c r="DS50" s="187"/>
      <c r="DT50" s="187"/>
      <c r="DU50" s="187"/>
      <c r="DV50" s="187"/>
      <c r="DW50" s="187"/>
      <c r="DX50" s="187"/>
      <c r="DY50" s="187"/>
      <c r="DZ50" s="187"/>
      <c r="EA50" s="187"/>
      <c r="EB50" s="187"/>
      <c r="EC50" s="161"/>
      <c r="ED50" s="187"/>
      <c r="EE50" s="187"/>
      <c r="EF50" s="187"/>
      <c r="EG50" s="187"/>
      <c r="EH50" s="187"/>
      <c r="EI50" s="187"/>
      <c r="EJ50" s="187"/>
      <c r="EK50" s="187"/>
      <c r="EL50" s="187"/>
      <c r="EM50" s="187"/>
      <c r="EN50" s="161"/>
      <c r="EO50" s="187"/>
      <c r="EP50" s="187"/>
      <c r="EQ50" s="187"/>
      <c r="ER50" s="187"/>
      <c r="ES50" s="187"/>
      <c r="ET50" s="187"/>
      <c r="EU50" s="187"/>
      <c r="EV50" s="187"/>
      <c r="EW50" s="187"/>
      <c r="EX50" s="187"/>
      <c r="EY50" s="161"/>
      <c r="EZ50" s="187"/>
      <c r="FA50" s="187"/>
      <c r="FB50" s="187"/>
      <c r="FC50" s="187"/>
      <c r="FD50" s="187"/>
      <c r="FE50" s="187"/>
      <c r="FF50" s="187"/>
      <c r="FG50" s="187"/>
      <c r="FH50" s="187"/>
      <c r="FI50" s="187"/>
      <c r="FJ50" s="161"/>
      <c r="FK50" s="187"/>
      <c r="FL50" s="187"/>
      <c r="FM50" s="187"/>
      <c r="FN50" s="187"/>
      <c r="FO50" s="187"/>
      <c r="FP50" s="187"/>
      <c r="FQ50" s="187"/>
      <c r="FR50" s="187"/>
      <c r="FS50" s="187"/>
      <c r="FT50" s="187"/>
      <c r="FU50" s="161"/>
      <c r="FV50" s="187"/>
      <c r="FW50" s="187"/>
      <c r="FX50" s="187"/>
      <c r="FY50" s="187"/>
      <c r="FZ50" s="187"/>
      <c r="GA50" s="187"/>
      <c r="GB50" s="187"/>
      <c r="GC50" s="187"/>
      <c r="GD50" s="187"/>
      <c r="GE50" s="187"/>
      <c r="GF50" s="161"/>
      <c r="GG50" s="187"/>
      <c r="GH50" s="187"/>
      <c r="GI50" s="187"/>
      <c r="GJ50" s="187"/>
      <c r="GK50" s="187"/>
      <c r="GL50" s="187"/>
      <c r="GM50" s="187"/>
      <c r="GN50" s="187"/>
      <c r="GO50" s="187"/>
      <c r="GP50" s="187"/>
      <c r="GQ50" s="161"/>
      <c r="GR50" s="187"/>
      <c r="GS50" s="187"/>
      <c r="GT50" s="187"/>
      <c r="GU50" s="187"/>
      <c r="GV50" s="187"/>
      <c r="GW50" s="187"/>
      <c r="GX50" s="187"/>
      <c r="GY50" s="187"/>
      <c r="GZ50" s="187"/>
      <c r="HA50" s="187"/>
      <c r="HB50" s="161"/>
      <c r="HC50" s="187"/>
      <c r="HD50" s="187"/>
      <c r="HE50" s="187"/>
      <c r="HF50" s="187"/>
      <c r="HG50" s="187"/>
      <c r="HH50" s="187"/>
      <c r="HI50" s="187"/>
      <c r="HJ50" s="187"/>
      <c r="HK50" s="187"/>
      <c r="HL50" s="187"/>
      <c r="HM50" s="161"/>
      <c r="HN50" s="187"/>
      <c r="HO50" s="187"/>
      <c r="HP50" s="187"/>
      <c r="HQ50" s="187"/>
      <c r="HR50" s="187"/>
      <c r="HS50" s="187"/>
      <c r="HT50" s="187"/>
      <c r="HU50" s="187"/>
      <c r="HV50" s="187"/>
      <c r="HW50" s="187"/>
      <c r="HX50" s="161"/>
      <c r="HY50" s="187"/>
      <c r="HZ50" s="187"/>
      <c r="IA50" s="187"/>
      <c r="IB50" s="187"/>
      <c r="IC50" s="187"/>
      <c r="ID50" s="187"/>
      <c r="IE50" s="187"/>
      <c r="IF50" s="187"/>
      <c r="IG50" s="187"/>
      <c r="IH50" s="187"/>
      <c r="II50" s="161"/>
      <c r="IJ50" s="187"/>
      <c r="IK50" s="187"/>
      <c r="IL50" s="187"/>
      <c r="IM50" s="187"/>
      <c r="IN50" s="187"/>
      <c r="IO50" s="187"/>
      <c r="IP50" s="187"/>
      <c r="IQ50" s="187"/>
      <c r="IR50" s="187"/>
      <c r="IS50" s="187"/>
      <c r="IT50" s="161"/>
      <c r="IU50" s="187"/>
      <c r="IV50" s="187"/>
    </row>
    <row r="51" spans="1:256" s="186" customFormat="1" ht="15" customHeight="1">
      <c r="A51" s="308">
        <v>1.7</v>
      </c>
      <c r="B51" s="340" t="s">
        <v>290</v>
      </c>
      <c r="C51" s="340"/>
      <c r="D51" s="340"/>
      <c r="E51" s="341" t="s">
        <v>127</v>
      </c>
      <c r="F51" s="341"/>
      <c r="G51" s="336">
        <f>consolidado!D134</f>
        <v>200</v>
      </c>
      <c r="H51" s="337"/>
      <c r="I51" s="307">
        <f>consolidado!E28</f>
        <v>3906.6747826086958</v>
      </c>
      <c r="J51" s="338">
        <f t="shared" si="0"/>
        <v>781334.95652173914</v>
      </c>
      <c r="K51" s="339"/>
      <c r="L51" s="147"/>
      <c r="M51" s="187"/>
      <c r="N51" s="187"/>
      <c r="O51" s="187"/>
      <c r="P51" s="187"/>
      <c r="Q51" s="187"/>
      <c r="R51" s="187"/>
      <c r="S51" s="187"/>
      <c r="T51" s="187"/>
      <c r="U51" s="187"/>
      <c r="V51" s="187"/>
      <c r="W51" s="161"/>
      <c r="X51" s="187"/>
      <c r="Y51" s="187"/>
      <c r="Z51" s="187"/>
      <c r="AA51" s="187"/>
      <c r="AB51" s="187"/>
      <c r="AC51" s="187"/>
      <c r="AD51" s="187"/>
      <c r="AE51" s="187"/>
      <c r="AF51" s="187"/>
      <c r="AG51" s="187"/>
      <c r="AH51" s="161"/>
      <c r="AI51" s="187"/>
      <c r="AJ51" s="187"/>
      <c r="AK51" s="187"/>
      <c r="AL51" s="187"/>
      <c r="AM51" s="187"/>
      <c r="AN51" s="187"/>
      <c r="AO51" s="187"/>
      <c r="AP51" s="187"/>
      <c r="AQ51" s="187"/>
      <c r="AR51" s="187"/>
      <c r="AS51" s="161"/>
      <c r="AT51" s="187"/>
      <c r="AU51" s="187"/>
      <c r="AV51" s="187"/>
      <c r="AW51" s="187"/>
      <c r="AX51" s="187"/>
      <c r="AY51" s="187"/>
      <c r="AZ51" s="187"/>
      <c r="BA51" s="187"/>
      <c r="BB51" s="187"/>
      <c r="BC51" s="187"/>
      <c r="BD51" s="161"/>
      <c r="BE51" s="187"/>
      <c r="BF51" s="187"/>
      <c r="BG51" s="187"/>
      <c r="BH51" s="187"/>
      <c r="BI51" s="187"/>
      <c r="BJ51" s="187"/>
      <c r="BK51" s="187"/>
      <c r="BL51" s="187"/>
      <c r="BM51" s="187"/>
      <c r="BN51" s="187"/>
      <c r="BO51" s="161"/>
      <c r="BP51" s="187"/>
      <c r="BQ51" s="187"/>
      <c r="BR51" s="187"/>
      <c r="BS51" s="187"/>
      <c r="BT51" s="187"/>
      <c r="BU51" s="187"/>
      <c r="BV51" s="187"/>
      <c r="BW51" s="187"/>
      <c r="BX51" s="187"/>
      <c r="BY51" s="187"/>
      <c r="BZ51" s="161"/>
      <c r="CA51" s="187"/>
      <c r="CB51" s="187"/>
      <c r="CC51" s="187"/>
      <c r="CD51" s="187"/>
      <c r="CE51" s="187"/>
      <c r="CF51" s="187"/>
      <c r="CG51" s="187"/>
      <c r="CH51" s="187"/>
      <c r="CI51" s="187"/>
      <c r="CJ51" s="187"/>
      <c r="CK51" s="161"/>
      <c r="CL51" s="187"/>
      <c r="CM51" s="187"/>
      <c r="CN51" s="187"/>
      <c r="CO51" s="187"/>
      <c r="CP51" s="187"/>
      <c r="CQ51" s="187"/>
      <c r="CR51" s="187"/>
      <c r="CS51" s="187"/>
      <c r="CT51" s="187"/>
      <c r="CU51" s="187"/>
      <c r="CV51" s="161"/>
      <c r="CW51" s="187"/>
      <c r="CX51" s="187"/>
      <c r="CY51" s="187"/>
      <c r="CZ51" s="187"/>
      <c r="DA51" s="187"/>
      <c r="DB51" s="187"/>
      <c r="DC51" s="187"/>
      <c r="DD51" s="187"/>
      <c r="DE51" s="187"/>
      <c r="DF51" s="187"/>
      <c r="DG51" s="161"/>
      <c r="DH51" s="187"/>
      <c r="DI51" s="187"/>
      <c r="DJ51" s="187"/>
      <c r="DK51" s="187"/>
      <c r="DL51" s="187"/>
      <c r="DM51" s="187"/>
      <c r="DN51" s="187"/>
      <c r="DO51" s="187"/>
      <c r="DP51" s="187"/>
      <c r="DQ51" s="187"/>
      <c r="DR51" s="161"/>
      <c r="DS51" s="187"/>
      <c r="DT51" s="187"/>
      <c r="DU51" s="187"/>
      <c r="DV51" s="187"/>
      <c r="DW51" s="187"/>
      <c r="DX51" s="187"/>
      <c r="DY51" s="187"/>
      <c r="DZ51" s="187"/>
      <c r="EA51" s="187"/>
      <c r="EB51" s="187"/>
      <c r="EC51" s="161"/>
      <c r="ED51" s="187"/>
      <c r="EE51" s="187"/>
      <c r="EF51" s="187"/>
      <c r="EG51" s="187"/>
      <c r="EH51" s="187"/>
      <c r="EI51" s="187"/>
      <c r="EJ51" s="187"/>
      <c r="EK51" s="187"/>
      <c r="EL51" s="187"/>
      <c r="EM51" s="187"/>
      <c r="EN51" s="161"/>
      <c r="EO51" s="187"/>
      <c r="EP51" s="187"/>
      <c r="EQ51" s="187"/>
      <c r="ER51" s="187"/>
      <c r="ES51" s="187"/>
      <c r="ET51" s="187"/>
      <c r="EU51" s="187"/>
      <c r="EV51" s="187"/>
      <c r="EW51" s="187"/>
      <c r="EX51" s="187"/>
      <c r="EY51" s="161"/>
      <c r="EZ51" s="187"/>
      <c r="FA51" s="187"/>
      <c r="FB51" s="187"/>
      <c r="FC51" s="187"/>
      <c r="FD51" s="187"/>
      <c r="FE51" s="187"/>
      <c r="FF51" s="187"/>
      <c r="FG51" s="187"/>
      <c r="FH51" s="187"/>
      <c r="FI51" s="187"/>
      <c r="FJ51" s="161"/>
      <c r="FK51" s="187"/>
      <c r="FL51" s="187"/>
      <c r="FM51" s="187"/>
      <c r="FN51" s="187"/>
      <c r="FO51" s="187"/>
      <c r="FP51" s="187"/>
      <c r="FQ51" s="187"/>
      <c r="FR51" s="187"/>
      <c r="FS51" s="187"/>
      <c r="FT51" s="187"/>
      <c r="FU51" s="161"/>
      <c r="FV51" s="187"/>
      <c r="FW51" s="187"/>
      <c r="FX51" s="187"/>
      <c r="FY51" s="187"/>
      <c r="FZ51" s="187"/>
      <c r="GA51" s="187"/>
      <c r="GB51" s="187"/>
      <c r="GC51" s="187"/>
      <c r="GD51" s="187"/>
      <c r="GE51" s="187"/>
      <c r="GF51" s="161"/>
      <c r="GG51" s="187"/>
      <c r="GH51" s="187"/>
      <c r="GI51" s="187"/>
      <c r="GJ51" s="187"/>
      <c r="GK51" s="187"/>
      <c r="GL51" s="187"/>
      <c r="GM51" s="187"/>
      <c r="GN51" s="187"/>
      <c r="GO51" s="187"/>
      <c r="GP51" s="187"/>
      <c r="GQ51" s="161"/>
      <c r="GR51" s="187"/>
      <c r="GS51" s="187"/>
      <c r="GT51" s="187"/>
      <c r="GU51" s="187"/>
      <c r="GV51" s="187"/>
      <c r="GW51" s="187"/>
      <c r="GX51" s="187"/>
      <c r="GY51" s="187"/>
      <c r="GZ51" s="187"/>
      <c r="HA51" s="187"/>
      <c r="HB51" s="161"/>
      <c r="HC51" s="187"/>
      <c r="HD51" s="187"/>
      <c r="HE51" s="187"/>
      <c r="HF51" s="187"/>
      <c r="HG51" s="187"/>
      <c r="HH51" s="187"/>
      <c r="HI51" s="187"/>
      <c r="HJ51" s="187"/>
      <c r="HK51" s="187"/>
      <c r="HL51" s="187"/>
      <c r="HM51" s="161"/>
      <c r="HN51" s="187"/>
      <c r="HO51" s="187"/>
      <c r="HP51" s="187"/>
      <c r="HQ51" s="187"/>
      <c r="HR51" s="187"/>
      <c r="HS51" s="187"/>
      <c r="HT51" s="187"/>
      <c r="HU51" s="187"/>
      <c r="HV51" s="187"/>
      <c r="HW51" s="187"/>
      <c r="HX51" s="161"/>
      <c r="HY51" s="187"/>
      <c r="HZ51" s="187"/>
      <c r="IA51" s="187"/>
      <c r="IB51" s="187"/>
      <c r="IC51" s="187"/>
      <c r="ID51" s="187"/>
      <c r="IE51" s="187"/>
      <c r="IF51" s="187"/>
      <c r="IG51" s="187"/>
      <c r="IH51" s="187"/>
      <c r="II51" s="161"/>
      <c r="IJ51" s="187"/>
      <c r="IK51" s="187"/>
      <c r="IL51" s="187"/>
      <c r="IM51" s="187"/>
      <c r="IN51" s="187"/>
      <c r="IO51" s="187"/>
      <c r="IP51" s="187"/>
      <c r="IQ51" s="187"/>
      <c r="IR51" s="187"/>
      <c r="IS51" s="187"/>
      <c r="IT51" s="161"/>
      <c r="IU51" s="187"/>
      <c r="IV51" s="187"/>
    </row>
    <row r="52" spans="1:256" s="186" customFormat="1" ht="16.5" customHeight="1">
      <c r="A52" s="308">
        <v>1.9</v>
      </c>
      <c r="B52" s="340" t="s">
        <v>128</v>
      </c>
      <c r="C52" s="340"/>
      <c r="D52" s="340"/>
      <c r="E52" s="341" t="s">
        <v>120</v>
      </c>
      <c r="F52" s="341"/>
      <c r="G52" s="336">
        <f>consolidado!D139</f>
        <v>25</v>
      </c>
      <c r="H52" s="337"/>
      <c r="I52" s="307">
        <f>consolidado!E31</f>
        <v>6720.0417391304345</v>
      </c>
      <c r="J52" s="338">
        <f t="shared" si="0"/>
        <v>168001.04347826086</v>
      </c>
      <c r="K52" s="339"/>
      <c r="L52" s="147"/>
      <c r="M52" s="187"/>
      <c r="N52" s="187"/>
      <c r="O52" s="187"/>
      <c r="P52" s="187"/>
      <c r="Q52" s="187"/>
      <c r="R52" s="187"/>
      <c r="S52" s="187"/>
      <c r="T52" s="187"/>
      <c r="U52" s="187"/>
      <c r="V52" s="187"/>
      <c r="W52" s="161"/>
      <c r="X52" s="187"/>
      <c r="Y52" s="187"/>
      <c r="Z52" s="187"/>
      <c r="AA52" s="187"/>
      <c r="AB52" s="187"/>
      <c r="AC52" s="187"/>
      <c r="AD52" s="187"/>
      <c r="AE52" s="187"/>
      <c r="AF52" s="187"/>
      <c r="AG52" s="187"/>
      <c r="AH52" s="161"/>
      <c r="AI52" s="187"/>
      <c r="AJ52" s="187"/>
      <c r="AK52" s="187"/>
      <c r="AL52" s="187"/>
      <c r="AM52" s="187"/>
      <c r="AN52" s="187"/>
      <c r="AO52" s="187"/>
      <c r="AP52" s="187"/>
      <c r="AQ52" s="187"/>
      <c r="AR52" s="187"/>
      <c r="AS52" s="161"/>
      <c r="AT52" s="187"/>
      <c r="AU52" s="187"/>
      <c r="AV52" s="187"/>
      <c r="AW52" s="187"/>
      <c r="AX52" s="187"/>
      <c r="AY52" s="187"/>
      <c r="AZ52" s="187"/>
      <c r="BA52" s="187"/>
      <c r="BB52" s="187"/>
      <c r="BC52" s="187"/>
      <c r="BD52" s="161"/>
      <c r="BE52" s="187"/>
      <c r="BF52" s="187"/>
      <c r="BG52" s="187"/>
      <c r="BH52" s="187"/>
      <c r="BI52" s="187"/>
      <c r="BJ52" s="187"/>
      <c r="BK52" s="187"/>
      <c r="BL52" s="187"/>
      <c r="BM52" s="187"/>
      <c r="BN52" s="187"/>
      <c r="BO52" s="161"/>
      <c r="BP52" s="187"/>
      <c r="BQ52" s="187"/>
      <c r="BR52" s="187"/>
      <c r="BS52" s="187"/>
      <c r="BT52" s="187"/>
      <c r="BU52" s="187"/>
      <c r="BV52" s="187"/>
      <c r="BW52" s="187"/>
      <c r="BX52" s="187"/>
      <c r="BY52" s="187"/>
      <c r="BZ52" s="161"/>
      <c r="CA52" s="187"/>
      <c r="CB52" s="187"/>
      <c r="CC52" s="187"/>
      <c r="CD52" s="187"/>
      <c r="CE52" s="187"/>
      <c r="CF52" s="187"/>
      <c r="CG52" s="187"/>
      <c r="CH52" s="187"/>
      <c r="CI52" s="187"/>
      <c r="CJ52" s="187"/>
      <c r="CK52" s="161"/>
      <c r="CL52" s="187"/>
      <c r="CM52" s="187"/>
      <c r="CN52" s="187"/>
      <c r="CO52" s="187"/>
      <c r="CP52" s="187"/>
      <c r="CQ52" s="187"/>
      <c r="CR52" s="187"/>
      <c r="CS52" s="187"/>
      <c r="CT52" s="187"/>
      <c r="CU52" s="187"/>
      <c r="CV52" s="161"/>
      <c r="CW52" s="187"/>
      <c r="CX52" s="187"/>
      <c r="CY52" s="187"/>
      <c r="CZ52" s="187"/>
      <c r="DA52" s="187"/>
      <c r="DB52" s="187"/>
      <c r="DC52" s="187"/>
      <c r="DD52" s="187"/>
      <c r="DE52" s="187"/>
      <c r="DF52" s="187"/>
      <c r="DG52" s="161"/>
      <c r="DH52" s="187"/>
      <c r="DI52" s="187"/>
      <c r="DJ52" s="187"/>
      <c r="DK52" s="187"/>
      <c r="DL52" s="187"/>
      <c r="DM52" s="187"/>
      <c r="DN52" s="187"/>
      <c r="DO52" s="187"/>
      <c r="DP52" s="187"/>
      <c r="DQ52" s="187"/>
      <c r="DR52" s="161"/>
      <c r="DS52" s="187"/>
      <c r="DT52" s="187"/>
      <c r="DU52" s="187"/>
      <c r="DV52" s="187"/>
      <c r="DW52" s="187"/>
      <c r="DX52" s="187"/>
      <c r="DY52" s="187"/>
      <c r="DZ52" s="187"/>
      <c r="EA52" s="187"/>
      <c r="EB52" s="187"/>
      <c r="EC52" s="161"/>
      <c r="ED52" s="187"/>
      <c r="EE52" s="187"/>
      <c r="EF52" s="187"/>
      <c r="EG52" s="187"/>
      <c r="EH52" s="187"/>
      <c r="EI52" s="187"/>
      <c r="EJ52" s="187"/>
      <c r="EK52" s="187"/>
      <c r="EL52" s="187"/>
      <c r="EM52" s="187"/>
      <c r="EN52" s="161"/>
      <c r="EO52" s="187"/>
      <c r="EP52" s="187"/>
      <c r="EQ52" s="187"/>
      <c r="ER52" s="187"/>
      <c r="ES52" s="187"/>
      <c r="ET52" s="187"/>
      <c r="EU52" s="187"/>
      <c r="EV52" s="187"/>
      <c r="EW52" s="187"/>
      <c r="EX52" s="187"/>
      <c r="EY52" s="161"/>
      <c r="EZ52" s="187"/>
      <c r="FA52" s="187"/>
      <c r="FB52" s="187"/>
      <c r="FC52" s="187"/>
      <c r="FD52" s="187"/>
      <c r="FE52" s="187"/>
      <c r="FF52" s="187"/>
      <c r="FG52" s="187"/>
      <c r="FH52" s="187"/>
      <c r="FI52" s="187"/>
      <c r="FJ52" s="161"/>
      <c r="FK52" s="187"/>
      <c r="FL52" s="187"/>
      <c r="FM52" s="187"/>
      <c r="FN52" s="187"/>
      <c r="FO52" s="187"/>
      <c r="FP52" s="187"/>
      <c r="FQ52" s="187"/>
      <c r="FR52" s="187"/>
      <c r="FS52" s="187"/>
      <c r="FT52" s="187"/>
      <c r="FU52" s="161"/>
      <c r="FV52" s="187"/>
      <c r="FW52" s="187"/>
      <c r="FX52" s="187"/>
      <c r="FY52" s="187"/>
      <c r="FZ52" s="187"/>
      <c r="GA52" s="187"/>
      <c r="GB52" s="187"/>
      <c r="GC52" s="187"/>
      <c r="GD52" s="187"/>
      <c r="GE52" s="187"/>
      <c r="GF52" s="161"/>
      <c r="GG52" s="187"/>
      <c r="GH52" s="187"/>
      <c r="GI52" s="187"/>
      <c r="GJ52" s="187"/>
      <c r="GK52" s="187"/>
      <c r="GL52" s="187"/>
      <c r="GM52" s="187"/>
      <c r="GN52" s="187"/>
      <c r="GO52" s="187"/>
      <c r="GP52" s="187"/>
      <c r="GQ52" s="161"/>
      <c r="GR52" s="187"/>
      <c r="GS52" s="187"/>
      <c r="GT52" s="187"/>
      <c r="GU52" s="187"/>
      <c r="GV52" s="187"/>
      <c r="GW52" s="187"/>
      <c r="GX52" s="187"/>
      <c r="GY52" s="187"/>
      <c r="GZ52" s="187"/>
      <c r="HA52" s="187"/>
      <c r="HB52" s="161"/>
      <c r="HC52" s="187"/>
      <c r="HD52" s="187"/>
      <c r="HE52" s="187"/>
      <c r="HF52" s="187"/>
      <c r="HG52" s="187"/>
      <c r="HH52" s="187"/>
      <c r="HI52" s="187"/>
      <c r="HJ52" s="187"/>
      <c r="HK52" s="187"/>
      <c r="HL52" s="187"/>
      <c r="HM52" s="161"/>
      <c r="HN52" s="187"/>
      <c r="HO52" s="187"/>
      <c r="HP52" s="187"/>
      <c r="HQ52" s="187"/>
      <c r="HR52" s="187"/>
      <c r="HS52" s="187"/>
      <c r="HT52" s="187"/>
      <c r="HU52" s="187"/>
      <c r="HV52" s="187"/>
      <c r="HW52" s="187"/>
      <c r="HX52" s="161"/>
      <c r="HY52" s="187"/>
      <c r="HZ52" s="187"/>
      <c r="IA52" s="187"/>
      <c r="IB52" s="187"/>
      <c r="IC52" s="187"/>
      <c r="ID52" s="187"/>
      <c r="IE52" s="187"/>
      <c r="IF52" s="187"/>
      <c r="IG52" s="187"/>
      <c r="IH52" s="187"/>
      <c r="II52" s="161"/>
      <c r="IJ52" s="187"/>
      <c r="IK52" s="187"/>
      <c r="IL52" s="187"/>
      <c r="IM52" s="187"/>
      <c r="IN52" s="187"/>
      <c r="IO52" s="187"/>
      <c r="IP52" s="187"/>
      <c r="IQ52" s="187"/>
      <c r="IR52" s="187"/>
      <c r="IS52" s="187"/>
      <c r="IT52" s="161"/>
      <c r="IU52" s="187"/>
      <c r="IV52" s="187"/>
    </row>
    <row r="53" spans="1:256" s="186" customFormat="1" ht="15.75" customHeight="1">
      <c r="A53" s="308">
        <v>2</v>
      </c>
      <c r="B53" s="340" t="s">
        <v>233</v>
      </c>
      <c r="C53" s="340"/>
      <c r="D53" s="340"/>
      <c r="E53" s="341" t="s">
        <v>120</v>
      </c>
      <c r="F53" s="341"/>
      <c r="G53" s="336">
        <f>consolidado!D34</f>
        <v>52</v>
      </c>
      <c r="H53" s="337"/>
      <c r="I53" s="307">
        <f>consolidado!E34+consolidado!E35+consolidado!E36</f>
        <v>11618.8208</v>
      </c>
      <c r="J53" s="338">
        <f>G53*I53</f>
        <v>604178.68160000001</v>
      </c>
      <c r="K53" s="339"/>
      <c r="L53" s="147"/>
      <c r="M53" s="187"/>
      <c r="N53" s="187"/>
      <c r="O53" s="187"/>
      <c r="P53" s="187"/>
      <c r="Q53" s="187"/>
      <c r="R53" s="187"/>
      <c r="S53" s="187"/>
      <c r="T53" s="187"/>
      <c r="U53" s="187"/>
      <c r="V53" s="187"/>
      <c r="W53" s="161"/>
      <c r="X53" s="187"/>
      <c r="Y53" s="187"/>
      <c r="Z53" s="187"/>
      <c r="AA53" s="187"/>
      <c r="AB53" s="187"/>
      <c r="AC53" s="187"/>
      <c r="AD53" s="187"/>
      <c r="AE53" s="187"/>
      <c r="AF53" s="187"/>
      <c r="AG53" s="187"/>
      <c r="AH53" s="161"/>
      <c r="AI53" s="187"/>
      <c r="AJ53" s="187"/>
      <c r="AK53" s="187"/>
      <c r="AL53" s="187"/>
      <c r="AM53" s="187"/>
      <c r="AN53" s="187"/>
      <c r="AO53" s="187"/>
      <c r="AP53" s="187"/>
      <c r="AQ53" s="187"/>
      <c r="AR53" s="187"/>
      <c r="AS53" s="161"/>
      <c r="AT53" s="187"/>
      <c r="AU53" s="187"/>
      <c r="AV53" s="187"/>
      <c r="AW53" s="187"/>
      <c r="AX53" s="187"/>
      <c r="AY53" s="187"/>
      <c r="AZ53" s="187"/>
      <c r="BA53" s="187"/>
      <c r="BB53" s="187"/>
      <c r="BC53" s="187"/>
      <c r="BD53" s="161"/>
      <c r="BE53" s="187"/>
      <c r="BF53" s="187"/>
      <c r="BG53" s="187"/>
      <c r="BH53" s="187"/>
      <c r="BI53" s="187"/>
      <c r="BJ53" s="187"/>
      <c r="BK53" s="187"/>
      <c r="BL53" s="187"/>
      <c r="BM53" s="187"/>
      <c r="BN53" s="187"/>
      <c r="BO53" s="161"/>
      <c r="BP53" s="187"/>
      <c r="BQ53" s="187"/>
      <c r="BR53" s="187"/>
      <c r="BS53" s="187"/>
      <c r="BT53" s="187"/>
      <c r="BU53" s="187"/>
      <c r="BV53" s="187"/>
      <c r="BW53" s="187"/>
      <c r="BX53" s="187"/>
      <c r="BY53" s="187"/>
      <c r="BZ53" s="161"/>
      <c r="CA53" s="187"/>
      <c r="CB53" s="187"/>
      <c r="CC53" s="187"/>
      <c r="CD53" s="187"/>
      <c r="CE53" s="187"/>
      <c r="CF53" s="187"/>
      <c r="CG53" s="187"/>
      <c r="CH53" s="187"/>
      <c r="CI53" s="187"/>
      <c r="CJ53" s="187"/>
      <c r="CK53" s="161"/>
      <c r="CL53" s="187"/>
      <c r="CM53" s="187"/>
      <c r="CN53" s="187"/>
      <c r="CO53" s="187"/>
      <c r="CP53" s="187"/>
      <c r="CQ53" s="187"/>
      <c r="CR53" s="187"/>
      <c r="CS53" s="187"/>
      <c r="CT53" s="187"/>
      <c r="CU53" s="187"/>
      <c r="CV53" s="161"/>
      <c r="CW53" s="187"/>
      <c r="CX53" s="187"/>
      <c r="CY53" s="187"/>
      <c r="CZ53" s="187"/>
      <c r="DA53" s="187"/>
      <c r="DB53" s="187"/>
      <c r="DC53" s="187"/>
      <c r="DD53" s="187"/>
      <c r="DE53" s="187"/>
      <c r="DF53" s="187"/>
      <c r="DG53" s="161"/>
      <c r="DH53" s="187"/>
      <c r="DI53" s="187"/>
      <c r="DJ53" s="187"/>
      <c r="DK53" s="187"/>
      <c r="DL53" s="187"/>
      <c r="DM53" s="187"/>
      <c r="DN53" s="187"/>
      <c r="DO53" s="187"/>
      <c r="DP53" s="187"/>
      <c r="DQ53" s="187"/>
      <c r="DR53" s="161"/>
      <c r="DS53" s="187"/>
      <c r="DT53" s="187"/>
      <c r="DU53" s="187"/>
      <c r="DV53" s="187"/>
      <c r="DW53" s="187"/>
      <c r="DX53" s="187"/>
      <c r="DY53" s="187"/>
      <c r="DZ53" s="187"/>
      <c r="EA53" s="187"/>
      <c r="EB53" s="187"/>
      <c r="EC53" s="161"/>
      <c r="ED53" s="187"/>
      <c r="EE53" s="187"/>
      <c r="EF53" s="187"/>
      <c r="EG53" s="187"/>
      <c r="EH53" s="187"/>
      <c r="EI53" s="187"/>
      <c r="EJ53" s="187"/>
      <c r="EK53" s="187"/>
      <c r="EL53" s="187"/>
      <c r="EM53" s="187"/>
      <c r="EN53" s="161"/>
      <c r="EO53" s="187"/>
      <c r="EP53" s="187"/>
      <c r="EQ53" s="187"/>
      <c r="ER53" s="187"/>
      <c r="ES53" s="187"/>
      <c r="ET53" s="187"/>
      <c r="EU53" s="187"/>
      <c r="EV53" s="187"/>
      <c r="EW53" s="187"/>
      <c r="EX53" s="187"/>
      <c r="EY53" s="161"/>
      <c r="EZ53" s="187"/>
      <c r="FA53" s="187"/>
      <c r="FB53" s="187"/>
      <c r="FC53" s="187"/>
      <c r="FD53" s="187"/>
      <c r="FE53" s="187"/>
      <c r="FF53" s="187"/>
      <c r="FG53" s="187"/>
      <c r="FH53" s="187"/>
      <c r="FI53" s="187"/>
      <c r="FJ53" s="161"/>
      <c r="FK53" s="187"/>
      <c r="FL53" s="187"/>
      <c r="FM53" s="187"/>
      <c r="FN53" s="187"/>
      <c r="FO53" s="187"/>
      <c r="FP53" s="187"/>
      <c r="FQ53" s="187"/>
      <c r="FR53" s="187"/>
      <c r="FS53" s="187"/>
      <c r="FT53" s="187"/>
      <c r="FU53" s="161"/>
      <c r="FV53" s="187"/>
      <c r="FW53" s="187"/>
      <c r="FX53" s="187"/>
      <c r="FY53" s="187"/>
      <c r="FZ53" s="187"/>
      <c r="GA53" s="187"/>
      <c r="GB53" s="187"/>
      <c r="GC53" s="187"/>
      <c r="GD53" s="187"/>
      <c r="GE53" s="187"/>
      <c r="GF53" s="161"/>
      <c r="GG53" s="187"/>
      <c r="GH53" s="187"/>
      <c r="GI53" s="187"/>
      <c r="GJ53" s="187"/>
      <c r="GK53" s="187"/>
      <c r="GL53" s="187"/>
      <c r="GM53" s="187"/>
      <c r="GN53" s="187"/>
      <c r="GO53" s="187"/>
      <c r="GP53" s="187"/>
      <c r="GQ53" s="161"/>
      <c r="GR53" s="187"/>
      <c r="GS53" s="187"/>
      <c r="GT53" s="187"/>
      <c r="GU53" s="187"/>
      <c r="GV53" s="187"/>
      <c r="GW53" s="187"/>
      <c r="GX53" s="187"/>
      <c r="GY53" s="187"/>
      <c r="GZ53" s="187"/>
      <c r="HA53" s="187"/>
      <c r="HB53" s="161"/>
      <c r="HC53" s="187"/>
      <c r="HD53" s="187"/>
      <c r="HE53" s="187"/>
      <c r="HF53" s="187"/>
      <c r="HG53" s="187"/>
      <c r="HH53" s="187"/>
      <c r="HI53" s="187"/>
      <c r="HJ53" s="187"/>
      <c r="HK53" s="187"/>
      <c r="HL53" s="187"/>
      <c r="HM53" s="161"/>
      <c r="HN53" s="187"/>
      <c r="HO53" s="187"/>
      <c r="HP53" s="187"/>
      <c r="HQ53" s="187"/>
      <c r="HR53" s="187"/>
      <c r="HS53" s="187"/>
      <c r="HT53" s="187"/>
      <c r="HU53" s="187"/>
      <c r="HV53" s="187"/>
      <c r="HW53" s="187"/>
      <c r="HX53" s="161"/>
      <c r="HY53" s="187"/>
      <c r="HZ53" s="187"/>
      <c r="IA53" s="187"/>
      <c r="IB53" s="187"/>
      <c r="IC53" s="187"/>
      <c r="ID53" s="187"/>
      <c r="IE53" s="187"/>
      <c r="IF53" s="187"/>
      <c r="IG53" s="187"/>
      <c r="IH53" s="187"/>
      <c r="II53" s="161"/>
      <c r="IJ53" s="187"/>
      <c r="IK53" s="187"/>
      <c r="IL53" s="187"/>
      <c r="IM53" s="187"/>
      <c r="IN53" s="187"/>
      <c r="IO53" s="187"/>
      <c r="IP53" s="187"/>
      <c r="IQ53" s="187"/>
      <c r="IR53" s="187"/>
      <c r="IS53" s="187"/>
      <c r="IT53" s="161"/>
      <c r="IU53" s="187"/>
      <c r="IV53" s="187"/>
    </row>
    <row r="54" spans="1:256" s="186" customFormat="1" ht="15.75" customHeight="1">
      <c r="A54" s="308"/>
      <c r="B54" s="409" t="s">
        <v>311</v>
      </c>
      <c r="C54" s="409"/>
      <c r="D54" s="409"/>
      <c r="E54" s="341"/>
      <c r="F54" s="341"/>
      <c r="G54" s="336"/>
      <c r="H54" s="337"/>
      <c r="I54" s="306"/>
      <c r="J54" s="338">
        <f>SUM(J45:K53)</f>
        <v>19621264.410778057</v>
      </c>
      <c r="K54" s="339"/>
      <c r="L54" s="147"/>
      <c r="M54" s="187"/>
      <c r="N54" s="187"/>
      <c r="O54" s="187"/>
      <c r="P54" s="187"/>
      <c r="Q54" s="187"/>
      <c r="R54" s="187"/>
      <c r="S54" s="187"/>
      <c r="T54" s="187"/>
      <c r="U54" s="187"/>
      <c r="V54" s="187"/>
      <c r="W54" s="161"/>
      <c r="X54" s="187"/>
      <c r="Y54" s="187"/>
      <c r="Z54" s="187"/>
      <c r="AA54" s="187"/>
      <c r="AB54" s="187"/>
      <c r="AC54" s="187"/>
      <c r="AD54" s="187"/>
      <c r="AE54" s="187"/>
      <c r="AF54" s="187"/>
      <c r="AG54" s="187"/>
      <c r="AH54" s="161"/>
      <c r="AI54" s="187"/>
      <c r="AJ54" s="187"/>
      <c r="AK54" s="187"/>
      <c r="AL54" s="187"/>
      <c r="AM54" s="187"/>
      <c r="AN54" s="187"/>
      <c r="AO54" s="187"/>
      <c r="AP54" s="187"/>
      <c r="AQ54" s="187"/>
      <c r="AR54" s="187"/>
      <c r="AS54" s="161"/>
      <c r="AT54" s="187"/>
      <c r="AU54" s="187"/>
      <c r="AV54" s="187"/>
      <c r="AW54" s="187"/>
      <c r="AX54" s="187"/>
      <c r="AY54" s="187"/>
      <c r="AZ54" s="187"/>
      <c r="BA54" s="187"/>
      <c r="BB54" s="187"/>
      <c r="BC54" s="187"/>
      <c r="BD54" s="161"/>
      <c r="BE54" s="187"/>
      <c r="BF54" s="187"/>
      <c r="BG54" s="187"/>
      <c r="BH54" s="187"/>
      <c r="BI54" s="187"/>
      <c r="BJ54" s="187"/>
      <c r="BK54" s="187"/>
      <c r="BL54" s="187"/>
      <c r="BM54" s="187"/>
      <c r="BN54" s="187"/>
      <c r="BO54" s="161"/>
      <c r="BP54" s="187"/>
      <c r="BQ54" s="187"/>
      <c r="BR54" s="187"/>
      <c r="BS54" s="187"/>
      <c r="BT54" s="187"/>
      <c r="BU54" s="187"/>
      <c r="BV54" s="187"/>
      <c r="BW54" s="187"/>
      <c r="BX54" s="187"/>
      <c r="BY54" s="187"/>
      <c r="BZ54" s="161"/>
      <c r="CA54" s="187"/>
      <c r="CB54" s="187"/>
      <c r="CC54" s="187"/>
      <c r="CD54" s="187"/>
      <c r="CE54" s="187"/>
      <c r="CF54" s="187"/>
      <c r="CG54" s="187"/>
      <c r="CH54" s="187"/>
      <c r="CI54" s="187"/>
      <c r="CJ54" s="187"/>
      <c r="CK54" s="161"/>
      <c r="CL54" s="187"/>
      <c r="CM54" s="187"/>
      <c r="CN54" s="187"/>
      <c r="CO54" s="187"/>
      <c r="CP54" s="187"/>
      <c r="CQ54" s="187"/>
      <c r="CR54" s="187"/>
      <c r="CS54" s="187"/>
      <c r="CT54" s="187"/>
      <c r="CU54" s="187"/>
      <c r="CV54" s="161"/>
      <c r="CW54" s="187"/>
      <c r="CX54" s="187"/>
      <c r="CY54" s="187"/>
      <c r="CZ54" s="187"/>
      <c r="DA54" s="187"/>
      <c r="DB54" s="187"/>
      <c r="DC54" s="187"/>
      <c r="DD54" s="187"/>
      <c r="DE54" s="187"/>
      <c r="DF54" s="187"/>
      <c r="DG54" s="161"/>
      <c r="DH54" s="187"/>
      <c r="DI54" s="187"/>
      <c r="DJ54" s="187"/>
      <c r="DK54" s="187"/>
      <c r="DL54" s="187"/>
      <c r="DM54" s="187"/>
      <c r="DN54" s="187"/>
      <c r="DO54" s="187"/>
      <c r="DP54" s="187"/>
      <c r="DQ54" s="187"/>
      <c r="DR54" s="161"/>
      <c r="DS54" s="187"/>
      <c r="DT54" s="187"/>
      <c r="DU54" s="187"/>
      <c r="DV54" s="187"/>
      <c r="DW54" s="187"/>
      <c r="DX54" s="187"/>
      <c r="DY54" s="187"/>
      <c r="DZ54" s="187"/>
      <c r="EA54" s="187"/>
      <c r="EB54" s="187"/>
      <c r="EC54" s="161"/>
      <c r="ED54" s="187"/>
      <c r="EE54" s="187"/>
      <c r="EF54" s="187"/>
      <c r="EG54" s="187"/>
      <c r="EH54" s="187"/>
      <c r="EI54" s="187"/>
      <c r="EJ54" s="187"/>
      <c r="EK54" s="187"/>
      <c r="EL54" s="187"/>
      <c r="EM54" s="187"/>
      <c r="EN54" s="161"/>
      <c r="EO54" s="187"/>
      <c r="EP54" s="187"/>
      <c r="EQ54" s="187"/>
      <c r="ER54" s="187"/>
      <c r="ES54" s="187"/>
      <c r="ET54" s="187"/>
      <c r="EU54" s="187"/>
      <c r="EV54" s="187"/>
      <c r="EW54" s="187"/>
      <c r="EX54" s="187"/>
      <c r="EY54" s="161"/>
      <c r="EZ54" s="187"/>
      <c r="FA54" s="187"/>
      <c r="FB54" s="187"/>
      <c r="FC54" s="187"/>
      <c r="FD54" s="187"/>
      <c r="FE54" s="187"/>
      <c r="FF54" s="187"/>
      <c r="FG54" s="187"/>
      <c r="FH54" s="187"/>
      <c r="FI54" s="187"/>
      <c r="FJ54" s="161"/>
      <c r="FK54" s="187"/>
      <c r="FL54" s="187"/>
      <c r="FM54" s="187"/>
      <c r="FN54" s="187"/>
      <c r="FO54" s="187"/>
      <c r="FP54" s="187"/>
      <c r="FQ54" s="187"/>
      <c r="FR54" s="187"/>
      <c r="FS54" s="187"/>
      <c r="FT54" s="187"/>
      <c r="FU54" s="161"/>
      <c r="FV54" s="187"/>
      <c r="FW54" s="187"/>
      <c r="FX54" s="187"/>
      <c r="FY54" s="187"/>
      <c r="FZ54" s="187"/>
      <c r="GA54" s="187"/>
      <c r="GB54" s="187"/>
      <c r="GC54" s="187"/>
      <c r="GD54" s="187"/>
      <c r="GE54" s="187"/>
      <c r="GF54" s="161"/>
      <c r="GG54" s="187"/>
      <c r="GH54" s="187"/>
      <c r="GI54" s="187"/>
      <c r="GJ54" s="187"/>
      <c r="GK54" s="187"/>
      <c r="GL54" s="187"/>
      <c r="GM54" s="187"/>
      <c r="GN54" s="187"/>
      <c r="GO54" s="187"/>
      <c r="GP54" s="187"/>
      <c r="GQ54" s="161"/>
      <c r="GR54" s="187"/>
      <c r="GS54" s="187"/>
      <c r="GT54" s="187"/>
      <c r="GU54" s="187"/>
      <c r="GV54" s="187"/>
      <c r="GW54" s="187"/>
      <c r="GX54" s="187"/>
      <c r="GY54" s="187"/>
      <c r="GZ54" s="187"/>
      <c r="HA54" s="187"/>
      <c r="HB54" s="161"/>
      <c r="HC54" s="187"/>
      <c r="HD54" s="187"/>
      <c r="HE54" s="187"/>
      <c r="HF54" s="187"/>
      <c r="HG54" s="187"/>
      <c r="HH54" s="187"/>
      <c r="HI54" s="187"/>
      <c r="HJ54" s="187"/>
      <c r="HK54" s="187"/>
      <c r="HL54" s="187"/>
      <c r="HM54" s="161"/>
      <c r="HN54" s="187"/>
      <c r="HO54" s="187"/>
      <c r="HP54" s="187"/>
      <c r="HQ54" s="187"/>
      <c r="HR54" s="187"/>
      <c r="HS54" s="187"/>
      <c r="HT54" s="187"/>
      <c r="HU54" s="187"/>
      <c r="HV54" s="187"/>
      <c r="HW54" s="187"/>
      <c r="HX54" s="161"/>
      <c r="HY54" s="187"/>
      <c r="HZ54" s="187"/>
      <c r="IA54" s="187"/>
      <c r="IB54" s="187"/>
      <c r="IC54" s="187"/>
      <c r="ID54" s="187"/>
      <c r="IE54" s="187"/>
      <c r="IF54" s="187"/>
      <c r="IG54" s="187"/>
      <c r="IH54" s="187"/>
      <c r="II54" s="161"/>
      <c r="IJ54" s="187"/>
      <c r="IK54" s="187"/>
      <c r="IL54" s="187"/>
      <c r="IM54" s="187"/>
      <c r="IN54" s="187"/>
      <c r="IO54" s="187"/>
      <c r="IP54" s="187"/>
      <c r="IQ54" s="187"/>
      <c r="IR54" s="187"/>
      <c r="IS54" s="187"/>
      <c r="IT54" s="161"/>
      <c r="IU54" s="187"/>
      <c r="IV54" s="187"/>
    </row>
    <row r="55" spans="1:256" s="186" customFormat="1" ht="15.95" customHeight="1">
      <c r="A55" s="309">
        <v>2</v>
      </c>
      <c r="B55" s="409" t="s">
        <v>281</v>
      </c>
      <c r="C55" s="409"/>
      <c r="D55" s="409"/>
      <c r="E55" s="341"/>
      <c r="F55" s="341"/>
      <c r="G55" s="336"/>
      <c r="H55" s="337"/>
      <c r="I55" s="188"/>
      <c r="J55" s="410"/>
      <c r="K55" s="411"/>
      <c r="L55" s="147"/>
      <c r="M55" s="187"/>
      <c r="N55" s="187"/>
      <c r="O55" s="187"/>
      <c r="P55" s="187"/>
      <c r="Q55" s="187"/>
      <c r="R55" s="187"/>
      <c r="S55" s="187"/>
      <c r="T55" s="187"/>
      <c r="U55" s="187"/>
      <c r="V55" s="187"/>
      <c r="W55" s="161"/>
      <c r="X55" s="187"/>
      <c r="Y55" s="187"/>
      <c r="Z55" s="187"/>
      <c r="AA55" s="187"/>
      <c r="AB55" s="187"/>
      <c r="AC55" s="187"/>
      <c r="AD55" s="187"/>
      <c r="AE55" s="187"/>
      <c r="AF55" s="187"/>
      <c r="AG55" s="187"/>
      <c r="AH55" s="161"/>
      <c r="AI55" s="187"/>
      <c r="AJ55" s="187"/>
      <c r="AK55" s="187"/>
      <c r="AL55" s="187"/>
      <c r="AM55" s="187"/>
      <c r="AN55" s="187"/>
      <c r="AO55" s="187"/>
      <c r="AP55" s="187"/>
      <c r="AQ55" s="187"/>
      <c r="AR55" s="187"/>
      <c r="AS55" s="161"/>
      <c r="AT55" s="187"/>
      <c r="AU55" s="187"/>
      <c r="AV55" s="187"/>
      <c r="AW55" s="187"/>
      <c r="AX55" s="187"/>
      <c r="AY55" s="187"/>
      <c r="AZ55" s="187"/>
      <c r="BA55" s="187"/>
      <c r="BB55" s="187"/>
      <c r="BC55" s="187"/>
      <c r="BD55" s="161"/>
      <c r="BE55" s="187"/>
      <c r="BF55" s="187"/>
      <c r="BG55" s="187"/>
      <c r="BH55" s="187"/>
      <c r="BI55" s="187"/>
      <c r="BJ55" s="187"/>
      <c r="BK55" s="187"/>
      <c r="BL55" s="187"/>
      <c r="BM55" s="187"/>
      <c r="BN55" s="187"/>
      <c r="BO55" s="161"/>
      <c r="BP55" s="187"/>
      <c r="BQ55" s="187"/>
      <c r="BR55" s="187"/>
      <c r="BS55" s="187"/>
      <c r="BT55" s="187"/>
      <c r="BU55" s="187"/>
      <c r="BV55" s="187"/>
      <c r="BW55" s="187"/>
      <c r="BX55" s="187"/>
      <c r="BY55" s="187"/>
      <c r="BZ55" s="161"/>
      <c r="CA55" s="187"/>
      <c r="CB55" s="187"/>
      <c r="CC55" s="187"/>
      <c r="CD55" s="187"/>
      <c r="CE55" s="187"/>
      <c r="CF55" s="187"/>
      <c r="CG55" s="187"/>
      <c r="CH55" s="187"/>
      <c r="CI55" s="187"/>
      <c r="CJ55" s="187"/>
      <c r="CK55" s="161"/>
      <c r="CL55" s="187"/>
      <c r="CM55" s="187"/>
      <c r="CN55" s="187"/>
      <c r="CO55" s="187"/>
      <c r="CP55" s="187"/>
      <c r="CQ55" s="187"/>
      <c r="CR55" s="187"/>
      <c r="CS55" s="187"/>
      <c r="CT55" s="187"/>
      <c r="CU55" s="187"/>
      <c r="CV55" s="161"/>
      <c r="CW55" s="187"/>
      <c r="CX55" s="187"/>
      <c r="CY55" s="187"/>
      <c r="CZ55" s="187"/>
      <c r="DA55" s="187"/>
      <c r="DB55" s="187"/>
      <c r="DC55" s="187"/>
      <c r="DD55" s="187"/>
      <c r="DE55" s="187"/>
      <c r="DF55" s="187"/>
      <c r="DG55" s="161"/>
      <c r="DH55" s="187"/>
      <c r="DI55" s="187"/>
      <c r="DJ55" s="187"/>
      <c r="DK55" s="187"/>
      <c r="DL55" s="187"/>
      <c r="DM55" s="187"/>
      <c r="DN55" s="187"/>
      <c r="DO55" s="187"/>
      <c r="DP55" s="187"/>
      <c r="DQ55" s="187"/>
      <c r="DR55" s="161"/>
      <c r="DS55" s="187"/>
      <c r="DT55" s="187"/>
      <c r="DU55" s="187"/>
      <c r="DV55" s="187"/>
      <c r="DW55" s="187"/>
      <c r="DX55" s="187"/>
      <c r="DY55" s="187"/>
      <c r="DZ55" s="187"/>
      <c r="EA55" s="187"/>
      <c r="EB55" s="187"/>
      <c r="EC55" s="161"/>
      <c r="ED55" s="187"/>
      <c r="EE55" s="187"/>
      <c r="EF55" s="187"/>
      <c r="EG55" s="187"/>
      <c r="EH55" s="187"/>
      <c r="EI55" s="187"/>
      <c r="EJ55" s="187"/>
      <c r="EK55" s="187"/>
      <c r="EL55" s="187"/>
      <c r="EM55" s="187"/>
      <c r="EN55" s="161"/>
      <c r="EO55" s="187"/>
      <c r="EP55" s="187"/>
      <c r="EQ55" s="187"/>
      <c r="ER55" s="187"/>
      <c r="ES55" s="187"/>
      <c r="ET55" s="187"/>
      <c r="EU55" s="187"/>
      <c r="EV55" s="187"/>
      <c r="EW55" s="187"/>
      <c r="EX55" s="187"/>
      <c r="EY55" s="161"/>
      <c r="EZ55" s="187"/>
      <c r="FA55" s="187"/>
      <c r="FB55" s="187"/>
      <c r="FC55" s="187"/>
      <c r="FD55" s="187"/>
      <c r="FE55" s="187"/>
      <c r="FF55" s="187"/>
      <c r="FG55" s="187"/>
      <c r="FH55" s="187"/>
      <c r="FI55" s="187"/>
      <c r="FJ55" s="161"/>
      <c r="FK55" s="187"/>
      <c r="FL55" s="187"/>
      <c r="FM55" s="187"/>
      <c r="FN55" s="187"/>
      <c r="FO55" s="187"/>
      <c r="FP55" s="187"/>
      <c r="FQ55" s="187"/>
      <c r="FR55" s="187"/>
      <c r="FS55" s="187"/>
      <c r="FT55" s="187"/>
      <c r="FU55" s="161"/>
      <c r="FV55" s="187"/>
      <c r="FW55" s="187"/>
      <c r="FX55" s="187"/>
      <c r="FY55" s="187"/>
      <c r="FZ55" s="187"/>
      <c r="GA55" s="187"/>
      <c r="GB55" s="187"/>
      <c r="GC55" s="187"/>
      <c r="GD55" s="187"/>
      <c r="GE55" s="187"/>
      <c r="GF55" s="161"/>
      <c r="GG55" s="187"/>
      <c r="GH55" s="187"/>
      <c r="GI55" s="187"/>
      <c r="GJ55" s="187"/>
      <c r="GK55" s="187"/>
      <c r="GL55" s="187"/>
      <c r="GM55" s="187"/>
      <c r="GN55" s="187"/>
      <c r="GO55" s="187"/>
      <c r="GP55" s="187"/>
      <c r="GQ55" s="161"/>
      <c r="GR55" s="187"/>
      <c r="GS55" s="187"/>
      <c r="GT55" s="187"/>
      <c r="GU55" s="187"/>
      <c r="GV55" s="187"/>
      <c r="GW55" s="187"/>
      <c r="GX55" s="187"/>
      <c r="GY55" s="187"/>
      <c r="GZ55" s="187"/>
      <c r="HA55" s="187"/>
      <c r="HB55" s="161"/>
      <c r="HC55" s="187"/>
      <c r="HD55" s="187"/>
      <c r="HE55" s="187"/>
      <c r="HF55" s="187"/>
      <c r="HG55" s="187"/>
      <c r="HH55" s="187"/>
      <c r="HI55" s="187"/>
      <c r="HJ55" s="187"/>
      <c r="HK55" s="187"/>
      <c r="HL55" s="187"/>
      <c r="HM55" s="161"/>
      <c r="HN55" s="187"/>
      <c r="HO55" s="187"/>
      <c r="HP55" s="187"/>
      <c r="HQ55" s="187"/>
      <c r="HR55" s="187"/>
      <c r="HS55" s="187"/>
      <c r="HT55" s="187"/>
      <c r="HU55" s="187"/>
      <c r="HV55" s="187"/>
      <c r="HW55" s="187"/>
      <c r="HX55" s="161"/>
      <c r="HY55" s="187"/>
      <c r="HZ55" s="187"/>
      <c r="IA55" s="187"/>
      <c r="IB55" s="187"/>
      <c r="IC55" s="187"/>
      <c r="ID55" s="187"/>
      <c r="IE55" s="187"/>
      <c r="IF55" s="187"/>
      <c r="IG55" s="187"/>
      <c r="IH55" s="187"/>
      <c r="II55" s="161"/>
      <c r="IJ55" s="187"/>
      <c r="IK55" s="187"/>
      <c r="IL55" s="187"/>
      <c r="IM55" s="187"/>
      <c r="IN55" s="187"/>
      <c r="IO55" s="187"/>
      <c r="IP55" s="187"/>
      <c r="IQ55" s="187"/>
      <c r="IR55" s="187"/>
      <c r="IS55" s="187"/>
      <c r="IT55" s="161"/>
      <c r="IU55" s="187"/>
      <c r="IV55" s="187"/>
    </row>
    <row r="56" spans="1:256" s="186" customFormat="1">
      <c r="A56" s="305"/>
      <c r="B56" s="340" t="s">
        <v>259</v>
      </c>
      <c r="C56" s="340"/>
      <c r="D56" s="340"/>
      <c r="E56" s="341" t="s">
        <v>133</v>
      </c>
      <c r="F56" s="341"/>
      <c r="G56" s="336">
        <f>consolidado!D147</f>
        <v>1.5</v>
      </c>
      <c r="H56" s="337"/>
      <c r="I56" s="307">
        <f>Resumen!I12</f>
        <v>2363308</v>
      </c>
      <c r="J56" s="338">
        <f t="shared" si="0"/>
        <v>3544962</v>
      </c>
      <c r="K56" s="339"/>
      <c r="L56" s="147"/>
      <c r="M56" s="187"/>
      <c r="N56" s="187"/>
      <c r="O56" s="187"/>
      <c r="P56" s="187"/>
      <c r="Q56" s="187"/>
      <c r="R56" s="187"/>
      <c r="S56" s="187"/>
      <c r="T56" s="187"/>
      <c r="U56" s="187"/>
      <c r="V56" s="187"/>
      <c r="W56" s="161"/>
      <c r="X56" s="187"/>
      <c r="Y56" s="187"/>
      <c r="Z56" s="187"/>
      <c r="AA56" s="187"/>
      <c r="AB56" s="187"/>
      <c r="AC56" s="187"/>
      <c r="AD56" s="187"/>
      <c r="AE56" s="187"/>
      <c r="AF56" s="187"/>
      <c r="AG56" s="187"/>
      <c r="AH56" s="161"/>
      <c r="AI56" s="187"/>
      <c r="AJ56" s="187"/>
      <c r="AK56" s="187"/>
      <c r="AL56" s="187"/>
      <c r="AM56" s="187"/>
      <c r="AN56" s="187"/>
      <c r="AO56" s="187"/>
      <c r="AP56" s="187"/>
      <c r="AQ56" s="187"/>
      <c r="AR56" s="187"/>
      <c r="AS56" s="161"/>
      <c r="AT56" s="187"/>
      <c r="AU56" s="187"/>
      <c r="AV56" s="187"/>
      <c r="AW56" s="187"/>
      <c r="AX56" s="187"/>
      <c r="AY56" s="187"/>
      <c r="AZ56" s="187"/>
      <c r="BA56" s="187"/>
      <c r="BB56" s="187"/>
      <c r="BC56" s="187"/>
      <c r="BD56" s="161"/>
      <c r="BE56" s="187"/>
      <c r="BF56" s="187"/>
      <c r="BG56" s="187"/>
      <c r="BH56" s="187"/>
      <c r="BI56" s="187"/>
      <c r="BJ56" s="187"/>
      <c r="BK56" s="187"/>
      <c r="BL56" s="187"/>
      <c r="BM56" s="187"/>
      <c r="BN56" s="187"/>
      <c r="BO56" s="161"/>
      <c r="BP56" s="187"/>
      <c r="BQ56" s="187"/>
      <c r="BR56" s="187"/>
      <c r="BS56" s="187"/>
      <c r="BT56" s="187"/>
      <c r="BU56" s="187"/>
      <c r="BV56" s="187"/>
      <c r="BW56" s="187"/>
      <c r="BX56" s="187"/>
      <c r="BY56" s="187"/>
      <c r="BZ56" s="161"/>
      <c r="CA56" s="187"/>
      <c r="CB56" s="187"/>
      <c r="CC56" s="187"/>
      <c r="CD56" s="187"/>
      <c r="CE56" s="187"/>
      <c r="CF56" s="187"/>
      <c r="CG56" s="187"/>
      <c r="CH56" s="187"/>
      <c r="CI56" s="187"/>
      <c r="CJ56" s="187"/>
      <c r="CK56" s="161"/>
      <c r="CL56" s="187"/>
      <c r="CM56" s="187"/>
      <c r="CN56" s="187"/>
      <c r="CO56" s="187"/>
      <c r="CP56" s="187"/>
      <c r="CQ56" s="187"/>
      <c r="CR56" s="187"/>
      <c r="CS56" s="187"/>
      <c r="CT56" s="187"/>
      <c r="CU56" s="187"/>
      <c r="CV56" s="161"/>
      <c r="CW56" s="187"/>
      <c r="CX56" s="187"/>
      <c r="CY56" s="187"/>
      <c r="CZ56" s="187"/>
      <c r="DA56" s="187"/>
      <c r="DB56" s="187"/>
      <c r="DC56" s="187"/>
      <c r="DD56" s="187"/>
      <c r="DE56" s="187"/>
      <c r="DF56" s="187"/>
      <c r="DG56" s="161"/>
      <c r="DH56" s="187"/>
      <c r="DI56" s="187"/>
      <c r="DJ56" s="187"/>
      <c r="DK56" s="187"/>
      <c r="DL56" s="187"/>
      <c r="DM56" s="187"/>
      <c r="DN56" s="187"/>
      <c r="DO56" s="187"/>
      <c r="DP56" s="187"/>
      <c r="DQ56" s="187"/>
      <c r="DR56" s="161"/>
      <c r="DS56" s="187"/>
      <c r="DT56" s="187"/>
      <c r="DU56" s="187"/>
      <c r="DV56" s="187"/>
      <c r="DW56" s="187"/>
      <c r="DX56" s="187"/>
      <c r="DY56" s="187"/>
      <c r="DZ56" s="187"/>
      <c r="EA56" s="187"/>
      <c r="EB56" s="187"/>
      <c r="EC56" s="161"/>
      <c r="ED56" s="187"/>
      <c r="EE56" s="187"/>
      <c r="EF56" s="187"/>
      <c r="EG56" s="187"/>
      <c r="EH56" s="187"/>
      <c r="EI56" s="187"/>
      <c r="EJ56" s="187"/>
      <c r="EK56" s="187"/>
      <c r="EL56" s="187"/>
      <c r="EM56" s="187"/>
      <c r="EN56" s="161"/>
      <c r="EO56" s="187"/>
      <c r="EP56" s="187"/>
      <c r="EQ56" s="187"/>
      <c r="ER56" s="187"/>
      <c r="ES56" s="187"/>
      <c r="ET56" s="187"/>
      <c r="EU56" s="187"/>
      <c r="EV56" s="187"/>
      <c r="EW56" s="187"/>
      <c r="EX56" s="187"/>
      <c r="EY56" s="161"/>
      <c r="EZ56" s="187"/>
      <c r="FA56" s="187"/>
      <c r="FB56" s="187"/>
      <c r="FC56" s="187"/>
      <c r="FD56" s="187"/>
      <c r="FE56" s="187"/>
      <c r="FF56" s="187"/>
      <c r="FG56" s="187"/>
      <c r="FH56" s="187"/>
      <c r="FI56" s="187"/>
      <c r="FJ56" s="161"/>
      <c r="FK56" s="187"/>
      <c r="FL56" s="187"/>
      <c r="FM56" s="187"/>
      <c r="FN56" s="187"/>
      <c r="FO56" s="187"/>
      <c r="FP56" s="187"/>
      <c r="FQ56" s="187"/>
      <c r="FR56" s="187"/>
      <c r="FS56" s="187"/>
      <c r="FT56" s="187"/>
      <c r="FU56" s="161"/>
      <c r="FV56" s="187"/>
      <c r="FW56" s="187"/>
      <c r="FX56" s="187"/>
      <c r="FY56" s="187"/>
      <c r="FZ56" s="187"/>
      <c r="GA56" s="187"/>
      <c r="GB56" s="187"/>
      <c r="GC56" s="187"/>
      <c r="GD56" s="187"/>
      <c r="GE56" s="187"/>
      <c r="GF56" s="161"/>
      <c r="GG56" s="187"/>
      <c r="GH56" s="187"/>
      <c r="GI56" s="187"/>
      <c r="GJ56" s="187"/>
      <c r="GK56" s="187"/>
      <c r="GL56" s="187"/>
      <c r="GM56" s="187"/>
      <c r="GN56" s="187"/>
      <c r="GO56" s="187"/>
      <c r="GP56" s="187"/>
      <c r="GQ56" s="161"/>
      <c r="GR56" s="187"/>
      <c r="GS56" s="187"/>
      <c r="GT56" s="187"/>
      <c r="GU56" s="187"/>
      <c r="GV56" s="187"/>
      <c r="GW56" s="187"/>
      <c r="GX56" s="187"/>
      <c r="GY56" s="187"/>
      <c r="GZ56" s="187"/>
      <c r="HA56" s="187"/>
      <c r="HB56" s="161"/>
      <c r="HC56" s="187"/>
      <c r="HD56" s="187"/>
      <c r="HE56" s="187"/>
      <c r="HF56" s="187"/>
      <c r="HG56" s="187"/>
      <c r="HH56" s="187"/>
      <c r="HI56" s="187"/>
      <c r="HJ56" s="187"/>
      <c r="HK56" s="187"/>
      <c r="HL56" s="187"/>
      <c r="HM56" s="161"/>
      <c r="HN56" s="187"/>
      <c r="HO56" s="187"/>
      <c r="HP56" s="187"/>
      <c r="HQ56" s="187"/>
      <c r="HR56" s="187"/>
      <c r="HS56" s="187"/>
      <c r="HT56" s="187"/>
      <c r="HU56" s="187"/>
      <c r="HV56" s="187"/>
      <c r="HW56" s="187"/>
      <c r="HX56" s="161"/>
      <c r="HY56" s="187"/>
      <c r="HZ56" s="187"/>
      <c r="IA56" s="187"/>
      <c r="IB56" s="187"/>
      <c r="IC56" s="187"/>
      <c r="ID56" s="187"/>
      <c r="IE56" s="187"/>
      <c r="IF56" s="187"/>
      <c r="IG56" s="187"/>
      <c r="IH56" s="187"/>
      <c r="II56" s="161"/>
      <c r="IJ56" s="187"/>
      <c r="IK56" s="187"/>
      <c r="IL56" s="187"/>
      <c r="IM56" s="187"/>
      <c r="IN56" s="187"/>
      <c r="IO56" s="187"/>
      <c r="IP56" s="187"/>
      <c r="IQ56" s="187"/>
      <c r="IR56" s="187"/>
      <c r="IS56" s="187"/>
      <c r="IT56" s="161"/>
      <c r="IU56" s="187"/>
      <c r="IV56" s="187"/>
    </row>
    <row r="57" spans="1:256" s="186" customFormat="1">
      <c r="A57" s="305"/>
      <c r="B57" s="340" t="s">
        <v>312</v>
      </c>
      <c r="C57" s="340"/>
      <c r="D57" s="340"/>
      <c r="E57" s="341" t="s">
        <v>133</v>
      </c>
      <c r="F57" s="341"/>
      <c r="G57" s="336">
        <f>consolidado!D80</f>
        <v>0.3</v>
      </c>
      <c r="H57" s="337"/>
      <c r="I57" s="307">
        <f>consolidado!E80</f>
        <v>9160000</v>
      </c>
      <c r="J57" s="338">
        <f>G57*I57</f>
        <v>2748000</v>
      </c>
      <c r="K57" s="339"/>
      <c r="L57" s="147"/>
      <c r="M57" s="187"/>
      <c r="N57" s="187"/>
      <c r="O57" s="187"/>
      <c r="P57" s="187"/>
      <c r="Q57" s="187"/>
      <c r="R57" s="187"/>
      <c r="S57" s="187"/>
      <c r="T57" s="187"/>
      <c r="U57" s="187"/>
      <c r="V57" s="187"/>
      <c r="W57" s="161"/>
      <c r="X57" s="187"/>
      <c r="Y57" s="187"/>
      <c r="Z57" s="187"/>
      <c r="AA57" s="187"/>
      <c r="AB57" s="187"/>
      <c r="AC57" s="187"/>
      <c r="AD57" s="187"/>
      <c r="AE57" s="187"/>
      <c r="AF57" s="187"/>
      <c r="AG57" s="187"/>
      <c r="AH57" s="161"/>
      <c r="AI57" s="187"/>
      <c r="AJ57" s="187"/>
      <c r="AK57" s="187"/>
      <c r="AL57" s="187"/>
      <c r="AM57" s="187"/>
      <c r="AN57" s="187"/>
      <c r="AO57" s="187"/>
      <c r="AP57" s="187"/>
      <c r="AQ57" s="187"/>
      <c r="AR57" s="187"/>
      <c r="AS57" s="161"/>
      <c r="AT57" s="187"/>
      <c r="AU57" s="187"/>
      <c r="AV57" s="187"/>
      <c r="AW57" s="187"/>
      <c r="AX57" s="187"/>
      <c r="AY57" s="187"/>
      <c r="AZ57" s="187"/>
      <c r="BA57" s="187"/>
      <c r="BB57" s="187"/>
      <c r="BC57" s="187"/>
      <c r="BD57" s="161"/>
      <c r="BE57" s="187"/>
      <c r="BF57" s="187"/>
      <c r="BG57" s="187"/>
      <c r="BH57" s="187"/>
      <c r="BI57" s="187"/>
      <c r="BJ57" s="187"/>
      <c r="BK57" s="187"/>
      <c r="BL57" s="187"/>
      <c r="BM57" s="187"/>
      <c r="BN57" s="187"/>
      <c r="BO57" s="161"/>
      <c r="BP57" s="187"/>
      <c r="BQ57" s="187"/>
      <c r="BR57" s="187"/>
      <c r="BS57" s="187"/>
      <c r="BT57" s="187"/>
      <c r="BU57" s="187"/>
      <c r="BV57" s="187"/>
      <c r="BW57" s="187"/>
      <c r="BX57" s="187"/>
      <c r="BY57" s="187"/>
      <c r="BZ57" s="161"/>
      <c r="CA57" s="187"/>
      <c r="CB57" s="187"/>
      <c r="CC57" s="187"/>
      <c r="CD57" s="187"/>
      <c r="CE57" s="187"/>
      <c r="CF57" s="187"/>
      <c r="CG57" s="187"/>
      <c r="CH57" s="187"/>
      <c r="CI57" s="187"/>
      <c r="CJ57" s="187"/>
      <c r="CK57" s="161"/>
      <c r="CL57" s="187"/>
      <c r="CM57" s="187"/>
      <c r="CN57" s="187"/>
      <c r="CO57" s="187"/>
      <c r="CP57" s="187"/>
      <c r="CQ57" s="187"/>
      <c r="CR57" s="187"/>
      <c r="CS57" s="187"/>
      <c r="CT57" s="187"/>
      <c r="CU57" s="187"/>
      <c r="CV57" s="161"/>
      <c r="CW57" s="187"/>
      <c r="CX57" s="187"/>
      <c r="CY57" s="187"/>
      <c r="CZ57" s="187"/>
      <c r="DA57" s="187"/>
      <c r="DB57" s="187"/>
      <c r="DC57" s="187"/>
      <c r="DD57" s="187"/>
      <c r="DE57" s="187"/>
      <c r="DF57" s="187"/>
      <c r="DG57" s="161"/>
      <c r="DH57" s="187"/>
      <c r="DI57" s="187"/>
      <c r="DJ57" s="187"/>
      <c r="DK57" s="187"/>
      <c r="DL57" s="187"/>
      <c r="DM57" s="187"/>
      <c r="DN57" s="187"/>
      <c r="DO57" s="187"/>
      <c r="DP57" s="187"/>
      <c r="DQ57" s="187"/>
      <c r="DR57" s="161"/>
      <c r="DS57" s="187"/>
      <c r="DT57" s="187"/>
      <c r="DU57" s="187"/>
      <c r="DV57" s="187"/>
      <c r="DW57" s="187"/>
      <c r="DX57" s="187"/>
      <c r="DY57" s="187"/>
      <c r="DZ57" s="187"/>
      <c r="EA57" s="187"/>
      <c r="EB57" s="187"/>
      <c r="EC57" s="161"/>
      <c r="ED57" s="187"/>
      <c r="EE57" s="187"/>
      <c r="EF57" s="187"/>
      <c r="EG57" s="187"/>
      <c r="EH57" s="187"/>
      <c r="EI57" s="187"/>
      <c r="EJ57" s="187"/>
      <c r="EK57" s="187"/>
      <c r="EL57" s="187"/>
      <c r="EM57" s="187"/>
      <c r="EN57" s="161"/>
      <c r="EO57" s="187"/>
      <c r="EP57" s="187"/>
      <c r="EQ57" s="187"/>
      <c r="ER57" s="187"/>
      <c r="ES57" s="187"/>
      <c r="ET57" s="187"/>
      <c r="EU57" s="187"/>
      <c r="EV57" s="187"/>
      <c r="EW57" s="187"/>
      <c r="EX57" s="187"/>
      <c r="EY57" s="161"/>
      <c r="EZ57" s="187"/>
      <c r="FA57" s="187"/>
      <c r="FB57" s="187"/>
      <c r="FC57" s="187"/>
      <c r="FD57" s="187"/>
      <c r="FE57" s="187"/>
      <c r="FF57" s="187"/>
      <c r="FG57" s="187"/>
      <c r="FH57" s="187"/>
      <c r="FI57" s="187"/>
      <c r="FJ57" s="161"/>
      <c r="FK57" s="187"/>
      <c r="FL57" s="187"/>
      <c r="FM57" s="187"/>
      <c r="FN57" s="187"/>
      <c r="FO57" s="187"/>
      <c r="FP57" s="187"/>
      <c r="FQ57" s="187"/>
      <c r="FR57" s="187"/>
      <c r="FS57" s="187"/>
      <c r="FT57" s="187"/>
      <c r="FU57" s="161"/>
      <c r="FV57" s="187"/>
      <c r="FW57" s="187"/>
      <c r="FX57" s="187"/>
      <c r="FY57" s="187"/>
      <c r="FZ57" s="187"/>
      <c r="GA57" s="187"/>
      <c r="GB57" s="187"/>
      <c r="GC57" s="187"/>
      <c r="GD57" s="187"/>
      <c r="GE57" s="187"/>
      <c r="GF57" s="161"/>
      <c r="GG57" s="187"/>
      <c r="GH57" s="187"/>
      <c r="GI57" s="187"/>
      <c r="GJ57" s="187"/>
      <c r="GK57" s="187"/>
      <c r="GL57" s="187"/>
      <c r="GM57" s="187"/>
      <c r="GN57" s="187"/>
      <c r="GO57" s="187"/>
      <c r="GP57" s="187"/>
      <c r="GQ57" s="161"/>
      <c r="GR57" s="187"/>
      <c r="GS57" s="187"/>
      <c r="GT57" s="187"/>
      <c r="GU57" s="187"/>
      <c r="GV57" s="187"/>
      <c r="GW57" s="187"/>
      <c r="GX57" s="187"/>
      <c r="GY57" s="187"/>
      <c r="GZ57" s="187"/>
      <c r="HA57" s="187"/>
      <c r="HB57" s="161"/>
      <c r="HC57" s="187"/>
      <c r="HD57" s="187"/>
      <c r="HE57" s="187"/>
      <c r="HF57" s="187"/>
      <c r="HG57" s="187"/>
      <c r="HH57" s="187"/>
      <c r="HI57" s="187"/>
      <c r="HJ57" s="187"/>
      <c r="HK57" s="187"/>
      <c r="HL57" s="187"/>
      <c r="HM57" s="161"/>
      <c r="HN57" s="187"/>
      <c r="HO57" s="187"/>
      <c r="HP57" s="187"/>
      <c r="HQ57" s="187"/>
      <c r="HR57" s="187"/>
      <c r="HS57" s="187"/>
      <c r="HT57" s="187"/>
      <c r="HU57" s="187"/>
      <c r="HV57" s="187"/>
      <c r="HW57" s="187"/>
      <c r="HX57" s="161"/>
      <c r="HY57" s="187"/>
      <c r="HZ57" s="187"/>
      <c r="IA57" s="187"/>
      <c r="IB57" s="187"/>
      <c r="IC57" s="187"/>
      <c r="ID57" s="187"/>
      <c r="IE57" s="187"/>
      <c r="IF57" s="187"/>
      <c r="IG57" s="187"/>
      <c r="IH57" s="187"/>
      <c r="II57" s="161"/>
      <c r="IJ57" s="187"/>
      <c r="IK57" s="187"/>
      <c r="IL57" s="187"/>
      <c r="IM57" s="187"/>
      <c r="IN57" s="187"/>
      <c r="IO57" s="187"/>
      <c r="IP57" s="187"/>
      <c r="IQ57" s="187"/>
      <c r="IR57" s="187"/>
      <c r="IS57" s="187"/>
      <c r="IT57" s="161"/>
      <c r="IU57" s="187"/>
      <c r="IV57" s="187"/>
    </row>
    <row r="58" spans="1:256" s="186" customFormat="1" ht="15.75" customHeight="1">
      <c r="A58" s="308"/>
      <c r="B58" s="409" t="s">
        <v>278</v>
      </c>
      <c r="C58" s="409"/>
      <c r="D58" s="409"/>
      <c r="E58" s="341"/>
      <c r="F58" s="341"/>
      <c r="G58" s="336"/>
      <c r="H58" s="337"/>
      <c r="I58" s="307"/>
      <c r="J58" s="338">
        <f>SUM(J56:K57)</f>
        <v>6292962</v>
      </c>
      <c r="K58" s="339"/>
      <c r="L58" s="147"/>
      <c r="M58" s="187"/>
      <c r="N58" s="187"/>
      <c r="O58" s="187"/>
      <c r="P58" s="187"/>
      <c r="Q58" s="187"/>
      <c r="R58" s="187"/>
      <c r="S58" s="187"/>
      <c r="T58" s="187"/>
      <c r="U58" s="187"/>
      <c r="V58" s="187"/>
      <c r="W58" s="161"/>
      <c r="X58" s="187"/>
      <c r="Y58" s="187"/>
      <c r="Z58" s="187"/>
      <c r="AA58" s="187"/>
      <c r="AB58" s="187"/>
      <c r="AC58" s="187"/>
      <c r="AD58" s="187"/>
      <c r="AE58" s="187"/>
      <c r="AF58" s="187"/>
      <c r="AG58" s="187"/>
      <c r="AH58" s="161"/>
      <c r="AI58" s="187"/>
      <c r="AJ58" s="187"/>
      <c r="AK58" s="187"/>
      <c r="AL58" s="187"/>
      <c r="AM58" s="187"/>
      <c r="AN58" s="187"/>
      <c r="AO58" s="187"/>
      <c r="AP58" s="187"/>
      <c r="AQ58" s="187"/>
      <c r="AR58" s="187"/>
      <c r="AS58" s="161"/>
      <c r="AT58" s="187"/>
      <c r="AU58" s="187"/>
      <c r="AV58" s="187"/>
      <c r="AW58" s="187"/>
      <c r="AX58" s="187"/>
      <c r="AY58" s="187"/>
      <c r="AZ58" s="187"/>
      <c r="BA58" s="187"/>
      <c r="BB58" s="187"/>
      <c r="BC58" s="187"/>
      <c r="BD58" s="161"/>
      <c r="BE58" s="187"/>
      <c r="BF58" s="187"/>
      <c r="BG58" s="187"/>
      <c r="BH58" s="187"/>
      <c r="BI58" s="187"/>
      <c r="BJ58" s="187"/>
      <c r="BK58" s="187"/>
      <c r="BL58" s="187"/>
      <c r="BM58" s="187"/>
      <c r="BN58" s="187"/>
      <c r="BO58" s="161"/>
      <c r="BP58" s="187"/>
      <c r="BQ58" s="187"/>
      <c r="BR58" s="187"/>
      <c r="BS58" s="187"/>
      <c r="BT58" s="187"/>
      <c r="BU58" s="187"/>
      <c r="BV58" s="187"/>
      <c r="BW58" s="187"/>
      <c r="BX58" s="187"/>
      <c r="BY58" s="187"/>
      <c r="BZ58" s="161"/>
      <c r="CA58" s="187"/>
      <c r="CB58" s="187"/>
      <c r="CC58" s="187"/>
      <c r="CD58" s="187"/>
      <c r="CE58" s="187"/>
      <c r="CF58" s="187"/>
      <c r="CG58" s="187"/>
      <c r="CH58" s="187"/>
      <c r="CI58" s="187"/>
      <c r="CJ58" s="187"/>
      <c r="CK58" s="161"/>
      <c r="CL58" s="187"/>
      <c r="CM58" s="187"/>
      <c r="CN58" s="187"/>
      <c r="CO58" s="187"/>
      <c r="CP58" s="187"/>
      <c r="CQ58" s="187"/>
      <c r="CR58" s="187"/>
      <c r="CS58" s="187"/>
      <c r="CT58" s="187"/>
      <c r="CU58" s="187"/>
      <c r="CV58" s="161"/>
      <c r="CW58" s="187"/>
      <c r="CX58" s="187"/>
      <c r="CY58" s="187"/>
      <c r="CZ58" s="187"/>
      <c r="DA58" s="187"/>
      <c r="DB58" s="187"/>
      <c r="DC58" s="187"/>
      <c r="DD58" s="187"/>
      <c r="DE58" s="187"/>
      <c r="DF58" s="187"/>
      <c r="DG58" s="161"/>
      <c r="DH58" s="187"/>
      <c r="DI58" s="187"/>
      <c r="DJ58" s="187"/>
      <c r="DK58" s="187"/>
      <c r="DL58" s="187"/>
      <c r="DM58" s="187"/>
      <c r="DN58" s="187"/>
      <c r="DO58" s="187"/>
      <c r="DP58" s="187"/>
      <c r="DQ58" s="187"/>
      <c r="DR58" s="161"/>
      <c r="DS58" s="187"/>
      <c r="DT58" s="187"/>
      <c r="DU58" s="187"/>
      <c r="DV58" s="187"/>
      <c r="DW58" s="187"/>
      <c r="DX58" s="187"/>
      <c r="DY58" s="187"/>
      <c r="DZ58" s="187"/>
      <c r="EA58" s="187"/>
      <c r="EB58" s="187"/>
      <c r="EC58" s="161"/>
      <c r="ED58" s="187"/>
      <c r="EE58" s="187"/>
      <c r="EF58" s="187"/>
      <c r="EG58" s="187"/>
      <c r="EH58" s="187"/>
      <c r="EI58" s="187"/>
      <c r="EJ58" s="187"/>
      <c r="EK58" s="187"/>
      <c r="EL58" s="187"/>
      <c r="EM58" s="187"/>
      <c r="EN58" s="161"/>
      <c r="EO58" s="187"/>
      <c r="EP58" s="187"/>
      <c r="EQ58" s="187"/>
      <c r="ER58" s="187"/>
      <c r="ES58" s="187"/>
      <c r="ET58" s="187"/>
      <c r="EU58" s="187"/>
      <c r="EV58" s="187"/>
      <c r="EW58" s="187"/>
      <c r="EX58" s="187"/>
      <c r="EY58" s="161"/>
      <c r="EZ58" s="187"/>
      <c r="FA58" s="187"/>
      <c r="FB58" s="187"/>
      <c r="FC58" s="187"/>
      <c r="FD58" s="187"/>
      <c r="FE58" s="187"/>
      <c r="FF58" s="187"/>
      <c r="FG58" s="187"/>
      <c r="FH58" s="187"/>
      <c r="FI58" s="187"/>
      <c r="FJ58" s="161"/>
      <c r="FK58" s="187"/>
      <c r="FL58" s="187"/>
      <c r="FM58" s="187"/>
      <c r="FN58" s="187"/>
      <c r="FO58" s="187"/>
      <c r="FP58" s="187"/>
      <c r="FQ58" s="187"/>
      <c r="FR58" s="187"/>
      <c r="FS58" s="187"/>
      <c r="FT58" s="187"/>
      <c r="FU58" s="161"/>
      <c r="FV58" s="187"/>
      <c r="FW58" s="187"/>
      <c r="FX58" s="187"/>
      <c r="FY58" s="187"/>
      <c r="FZ58" s="187"/>
      <c r="GA58" s="187"/>
      <c r="GB58" s="187"/>
      <c r="GC58" s="187"/>
      <c r="GD58" s="187"/>
      <c r="GE58" s="187"/>
      <c r="GF58" s="161"/>
      <c r="GG58" s="187"/>
      <c r="GH58" s="187"/>
      <c r="GI58" s="187"/>
      <c r="GJ58" s="187"/>
      <c r="GK58" s="187"/>
      <c r="GL58" s="187"/>
      <c r="GM58" s="187"/>
      <c r="GN58" s="187"/>
      <c r="GO58" s="187"/>
      <c r="GP58" s="187"/>
      <c r="GQ58" s="161"/>
      <c r="GR58" s="187"/>
      <c r="GS58" s="187"/>
      <c r="GT58" s="187"/>
      <c r="GU58" s="187"/>
      <c r="GV58" s="187"/>
      <c r="GW58" s="187"/>
      <c r="GX58" s="187"/>
      <c r="GY58" s="187"/>
      <c r="GZ58" s="187"/>
      <c r="HA58" s="187"/>
      <c r="HB58" s="161"/>
      <c r="HC58" s="187"/>
      <c r="HD58" s="187"/>
      <c r="HE58" s="187"/>
      <c r="HF58" s="187"/>
      <c r="HG58" s="187"/>
      <c r="HH58" s="187"/>
      <c r="HI58" s="187"/>
      <c r="HJ58" s="187"/>
      <c r="HK58" s="187"/>
      <c r="HL58" s="187"/>
      <c r="HM58" s="161"/>
      <c r="HN58" s="187"/>
      <c r="HO58" s="187"/>
      <c r="HP58" s="187"/>
      <c r="HQ58" s="187"/>
      <c r="HR58" s="187"/>
      <c r="HS58" s="187"/>
      <c r="HT58" s="187"/>
      <c r="HU58" s="187"/>
      <c r="HV58" s="187"/>
      <c r="HW58" s="187"/>
      <c r="HX58" s="161"/>
      <c r="HY58" s="187"/>
      <c r="HZ58" s="187"/>
      <c r="IA58" s="187"/>
      <c r="IB58" s="187"/>
      <c r="IC58" s="187"/>
      <c r="ID58" s="187"/>
      <c r="IE58" s="187"/>
      <c r="IF58" s="187"/>
      <c r="IG58" s="187"/>
      <c r="IH58" s="187"/>
      <c r="II58" s="161"/>
      <c r="IJ58" s="187"/>
      <c r="IK58" s="187"/>
      <c r="IL58" s="187"/>
      <c r="IM58" s="187"/>
      <c r="IN58" s="187"/>
      <c r="IO58" s="187"/>
      <c r="IP58" s="187"/>
      <c r="IQ58" s="187"/>
      <c r="IR58" s="187"/>
      <c r="IS58" s="187"/>
      <c r="IT58" s="161"/>
      <c r="IU58" s="187"/>
      <c r="IV58" s="187"/>
    </row>
    <row r="59" spans="1:256" s="186" customFormat="1" ht="15.75" customHeight="1" thickBot="1">
      <c r="A59" s="318"/>
      <c r="B59" s="403" t="s">
        <v>82</v>
      </c>
      <c r="C59" s="403"/>
      <c r="D59" s="403"/>
      <c r="E59" s="404"/>
      <c r="F59" s="404"/>
      <c r="G59" s="405"/>
      <c r="H59" s="406"/>
      <c r="I59" s="319"/>
      <c r="J59" s="407">
        <f>J58+J54</f>
        <v>25914226.410778057</v>
      </c>
      <c r="K59" s="408"/>
      <c r="L59" s="147"/>
      <c r="M59" s="187"/>
      <c r="N59" s="187"/>
      <c r="O59" s="187"/>
      <c r="P59" s="187"/>
      <c r="Q59" s="187"/>
      <c r="R59" s="187"/>
      <c r="S59" s="187"/>
      <c r="T59" s="187"/>
      <c r="U59" s="187"/>
      <c r="V59" s="187"/>
      <c r="W59" s="161"/>
      <c r="X59" s="187"/>
      <c r="Y59" s="187"/>
      <c r="Z59" s="187"/>
      <c r="AA59" s="187"/>
      <c r="AB59" s="187"/>
      <c r="AC59" s="187"/>
      <c r="AD59" s="187"/>
      <c r="AE59" s="187"/>
      <c r="AF59" s="187"/>
      <c r="AG59" s="187"/>
      <c r="AH59" s="161"/>
      <c r="AI59" s="187"/>
      <c r="AJ59" s="187"/>
      <c r="AK59" s="187"/>
      <c r="AL59" s="187"/>
      <c r="AM59" s="187"/>
      <c r="AN59" s="187"/>
      <c r="AO59" s="187"/>
      <c r="AP59" s="187"/>
      <c r="AQ59" s="187"/>
      <c r="AR59" s="187"/>
      <c r="AS59" s="161"/>
      <c r="AT59" s="187"/>
      <c r="AU59" s="187"/>
      <c r="AV59" s="187"/>
      <c r="AW59" s="187"/>
      <c r="AX59" s="187"/>
      <c r="AY59" s="187"/>
      <c r="AZ59" s="187"/>
      <c r="BA59" s="187"/>
      <c r="BB59" s="187"/>
      <c r="BC59" s="187"/>
      <c r="BD59" s="161"/>
      <c r="BE59" s="187"/>
      <c r="BF59" s="187"/>
      <c r="BG59" s="187"/>
      <c r="BH59" s="187"/>
      <c r="BI59" s="187"/>
      <c r="BJ59" s="187"/>
      <c r="BK59" s="187"/>
      <c r="BL59" s="187"/>
      <c r="BM59" s="187"/>
      <c r="BN59" s="187"/>
      <c r="BO59" s="161"/>
      <c r="BP59" s="187"/>
      <c r="BQ59" s="187"/>
      <c r="BR59" s="187"/>
      <c r="BS59" s="187"/>
      <c r="BT59" s="187"/>
      <c r="BU59" s="187"/>
      <c r="BV59" s="187"/>
      <c r="BW59" s="187"/>
      <c r="BX59" s="187"/>
      <c r="BY59" s="187"/>
      <c r="BZ59" s="161"/>
      <c r="CA59" s="187"/>
      <c r="CB59" s="187"/>
      <c r="CC59" s="187"/>
      <c r="CD59" s="187"/>
      <c r="CE59" s="187"/>
      <c r="CF59" s="187"/>
      <c r="CG59" s="187"/>
      <c r="CH59" s="187"/>
      <c r="CI59" s="187"/>
      <c r="CJ59" s="187"/>
      <c r="CK59" s="161"/>
      <c r="CL59" s="187"/>
      <c r="CM59" s="187"/>
      <c r="CN59" s="187"/>
      <c r="CO59" s="187"/>
      <c r="CP59" s="187"/>
      <c r="CQ59" s="187"/>
      <c r="CR59" s="187"/>
      <c r="CS59" s="187"/>
      <c r="CT59" s="187"/>
      <c r="CU59" s="187"/>
      <c r="CV59" s="161"/>
      <c r="CW59" s="187"/>
      <c r="CX59" s="187"/>
      <c r="CY59" s="187"/>
      <c r="CZ59" s="187"/>
      <c r="DA59" s="187"/>
      <c r="DB59" s="187"/>
      <c r="DC59" s="187"/>
      <c r="DD59" s="187"/>
      <c r="DE59" s="187"/>
      <c r="DF59" s="187"/>
      <c r="DG59" s="161"/>
      <c r="DH59" s="187"/>
      <c r="DI59" s="187"/>
      <c r="DJ59" s="187"/>
      <c r="DK59" s="187"/>
      <c r="DL59" s="187"/>
      <c r="DM59" s="187"/>
      <c r="DN59" s="187"/>
      <c r="DO59" s="187"/>
      <c r="DP59" s="187"/>
      <c r="DQ59" s="187"/>
      <c r="DR59" s="161"/>
      <c r="DS59" s="187"/>
      <c r="DT59" s="187"/>
      <c r="DU59" s="187"/>
      <c r="DV59" s="187"/>
      <c r="DW59" s="187"/>
      <c r="DX59" s="187"/>
      <c r="DY59" s="187"/>
      <c r="DZ59" s="187"/>
      <c r="EA59" s="187"/>
      <c r="EB59" s="187"/>
      <c r="EC59" s="161"/>
      <c r="ED59" s="187"/>
      <c r="EE59" s="187"/>
      <c r="EF59" s="187"/>
      <c r="EG59" s="187"/>
      <c r="EH59" s="187"/>
      <c r="EI59" s="187"/>
      <c r="EJ59" s="187"/>
      <c r="EK59" s="187"/>
      <c r="EL59" s="187"/>
      <c r="EM59" s="187"/>
      <c r="EN59" s="161"/>
      <c r="EO59" s="187"/>
      <c r="EP59" s="187"/>
      <c r="EQ59" s="187"/>
      <c r="ER59" s="187"/>
      <c r="ES59" s="187"/>
      <c r="ET59" s="187"/>
      <c r="EU59" s="187"/>
      <c r="EV59" s="187"/>
      <c r="EW59" s="187"/>
      <c r="EX59" s="187"/>
      <c r="EY59" s="161"/>
      <c r="EZ59" s="187"/>
      <c r="FA59" s="187"/>
      <c r="FB59" s="187"/>
      <c r="FC59" s="187"/>
      <c r="FD59" s="187"/>
      <c r="FE59" s="187"/>
      <c r="FF59" s="187"/>
      <c r="FG59" s="187"/>
      <c r="FH59" s="187"/>
      <c r="FI59" s="187"/>
      <c r="FJ59" s="161"/>
      <c r="FK59" s="187"/>
      <c r="FL59" s="187"/>
      <c r="FM59" s="187"/>
      <c r="FN59" s="187"/>
      <c r="FO59" s="187"/>
      <c r="FP59" s="187"/>
      <c r="FQ59" s="187"/>
      <c r="FR59" s="187"/>
      <c r="FS59" s="187"/>
      <c r="FT59" s="187"/>
      <c r="FU59" s="161"/>
      <c r="FV59" s="187"/>
      <c r="FW59" s="187"/>
      <c r="FX59" s="187"/>
      <c r="FY59" s="187"/>
      <c r="FZ59" s="187"/>
      <c r="GA59" s="187"/>
      <c r="GB59" s="187"/>
      <c r="GC59" s="187"/>
      <c r="GD59" s="187"/>
      <c r="GE59" s="187"/>
      <c r="GF59" s="161"/>
      <c r="GG59" s="187"/>
      <c r="GH59" s="187"/>
      <c r="GI59" s="187"/>
      <c r="GJ59" s="187"/>
      <c r="GK59" s="187"/>
      <c r="GL59" s="187"/>
      <c r="GM59" s="187"/>
      <c r="GN59" s="187"/>
      <c r="GO59" s="187"/>
      <c r="GP59" s="187"/>
      <c r="GQ59" s="161"/>
      <c r="GR59" s="187"/>
      <c r="GS59" s="187"/>
      <c r="GT59" s="187"/>
      <c r="GU59" s="187"/>
      <c r="GV59" s="187"/>
      <c r="GW59" s="187"/>
      <c r="GX59" s="187"/>
      <c r="GY59" s="187"/>
      <c r="GZ59" s="187"/>
      <c r="HA59" s="187"/>
      <c r="HB59" s="161"/>
      <c r="HC59" s="187"/>
      <c r="HD59" s="187"/>
      <c r="HE59" s="187"/>
      <c r="HF59" s="187"/>
      <c r="HG59" s="187"/>
      <c r="HH59" s="187"/>
      <c r="HI59" s="187"/>
      <c r="HJ59" s="187"/>
      <c r="HK59" s="187"/>
      <c r="HL59" s="187"/>
      <c r="HM59" s="161"/>
      <c r="HN59" s="187"/>
      <c r="HO59" s="187"/>
      <c r="HP59" s="187"/>
      <c r="HQ59" s="187"/>
      <c r="HR59" s="187"/>
      <c r="HS59" s="187"/>
      <c r="HT59" s="187"/>
      <c r="HU59" s="187"/>
      <c r="HV59" s="187"/>
      <c r="HW59" s="187"/>
      <c r="HX59" s="161"/>
      <c r="HY59" s="187"/>
      <c r="HZ59" s="187"/>
      <c r="IA59" s="187"/>
      <c r="IB59" s="187"/>
      <c r="IC59" s="187"/>
      <c r="ID59" s="187"/>
      <c r="IE59" s="187"/>
      <c r="IF59" s="187"/>
      <c r="IG59" s="187"/>
      <c r="IH59" s="187"/>
      <c r="II59" s="161"/>
      <c r="IJ59" s="187"/>
      <c r="IK59" s="187"/>
      <c r="IL59" s="187"/>
      <c r="IM59" s="187"/>
      <c r="IN59" s="187"/>
      <c r="IO59" s="187"/>
      <c r="IP59" s="187"/>
      <c r="IQ59" s="187"/>
      <c r="IR59" s="187"/>
      <c r="IS59" s="187"/>
      <c r="IT59" s="161"/>
      <c r="IU59" s="187"/>
      <c r="IV59" s="187"/>
    </row>
    <row r="60" spans="1:256" s="186" customFormat="1" ht="15.75" customHeight="1" thickBot="1">
      <c r="A60" s="401" t="s">
        <v>319</v>
      </c>
      <c r="B60" s="402"/>
      <c r="C60" s="402"/>
      <c r="D60" s="402"/>
      <c r="E60" s="402"/>
      <c r="F60" s="402"/>
      <c r="G60" s="402"/>
      <c r="H60" s="402"/>
      <c r="I60" s="402"/>
      <c r="J60" s="402"/>
      <c r="K60" s="402"/>
      <c r="L60" s="147"/>
      <c r="M60" s="187"/>
      <c r="N60" s="187"/>
      <c r="O60" s="187"/>
      <c r="P60" s="187"/>
      <c r="Q60" s="187"/>
      <c r="R60" s="187"/>
      <c r="S60" s="187"/>
      <c r="T60" s="187"/>
      <c r="U60" s="187"/>
      <c r="V60" s="187"/>
      <c r="W60" s="161"/>
      <c r="X60" s="187"/>
      <c r="Y60" s="187"/>
      <c r="Z60" s="187"/>
      <c r="AA60" s="187"/>
      <c r="AB60" s="187"/>
      <c r="AC60" s="187"/>
      <c r="AD60" s="187"/>
      <c r="AE60" s="187"/>
      <c r="AF60" s="187"/>
      <c r="AG60" s="187"/>
      <c r="AH60" s="161"/>
      <c r="AI60" s="187"/>
      <c r="AJ60" s="187"/>
      <c r="AK60" s="187"/>
      <c r="AL60" s="187"/>
      <c r="AM60" s="187"/>
      <c r="AN60" s="187"/>
      <c r="AO60" s="187"/>
      <c r="AP60" s="187"/>
      <c r="AQ60" s="187"/>
      <c r="AR60" s="187"/>
      <c r="AS60" s="161"/>
      <c r="AT60" s="187"/>
      <c r="AU60" s="187"/>
      <c r="AV60" s="187"/>
      <c r="AW60" s="187"/>
      <c r="AX60" s="187"/>
      <c r="AY60" s="187"/>
      <c r="AZ60" s="187"/>
      <c r="BA60" s="187"/>
      <c r="BB60" s="187"/>
      <c r="BC60" s="187"/>
      <c r="BD60" s="161"/>
      <c r="BE60" s="187"/>
      <c r="BF60" s="187"/>
      <c r="BG60" s="187"/>
      <c r="BH60" s="187"/>
      <c r="BI60" s="187"/>
      <c r="BJ60" s="187"/>
      <c r="BK60" s="187"/>
      <c r="BL60" s="187"/>
      <c r="BM60" s="187"/>
      <c r="BN60" s="187"/>
      <c r="BO60" s="161"/>
      <c r="BP60" s="187"/>
      <c r="BQ60" s="187"/>
      <c r="BR60" s="187"/>
      <c r="BS60" s="187"/>
      <c r="BT60" s="187"/>
      <c r="BU60" s="187"/>
      <c r="BV60" s="187"/>
      <c r="BW60" s="187"/>
      <c r="BX60" s="187"/>
      <c r="BY60" s="187"/>
      <c r="BZ60" s="161"/>
      <c r="CA60" s="187"/>
      <c r="CB60" s="187"/>
      <c r="CC60" s="187"/>
      <c r="CD60" s="187"/>
      <c r="CE60" s="187"/>
      <c r="CF60" s="187"/>
      <c r="CG60" s="187"/>
      <c r="CH60" s="187"/>
      <c r="CI60" s="187"/>
      <c r="CJ60" s="187"/>
      <c r="CK60" s="161"/>
      <c r="CL60" s="187"/>
      <c r="CM60" s="187"/>
      <c r="CN60" s="187"/>
      <c r="CO60" s="187"/>
      <c r="CP60" s="187"/>
      <c r="CQ60" s="187"/>
      <c r="CR60" s="187"/>
      <c r="CS60" s="187"/>
      <c r="CT60" s="187"/>
      <c r="CU60" s="187"/>
      <c r="CV60" s="161"/>
      <c r="CW60" s="187"/>
      <c r="CX60" s="187"/>
      <c r="CY60" s="187"/>
      <c r="CZ60" s="187"/>
      <c r="DA60" s="187"/>
      <c r="DB60" s="187"/>
      <c r="DC60" s="187"/>
      <c r="DD60" s="187"/>
      <c r="DE60" s="187"/>
      <c r="DF60" s="187"/>
      <c r="DG60" s="161"/>
      <c r="DH60" s="187"/>
      <c r="DI60" s="187"/>
      <c r="DJ60" s="187"/>
      <c r="DK60" s="187"/>
      <c r="DL60" s="187"/>
      <c r="DM60" s="187"/>
      <c r="DN60" s="187"/>
      <c r="DO60" s="187"/>
      <c r="DP60" s="187"/>
      <c r="DQ60" s="187"/>
      <c r="DR60" s="161"/>
      <c r="DS60" s="187"/>
      <c r="DT60" s="187"/>
      <c r="DU60" s="187"/>
      <c r="DV60" s="187"/>
      <c r="DW60" s="187"/>
      <c r="DX60" s="187"/>
      <c r="DY60" s="187"/>
      <c r="DZ60" s="187"/>
      <c r="EA60" s="187"/>
      <c r="EB60" s="187"/>
      <c r="EC60" s="161"/>
      <c r="ED60" s="187"/>
      <c r="EE60" s="187"/>
      <c r="EF60" s="187"/>
      <c r="EG60" s="187"/>
      <c r="EH60" s="187"/>
      <c r="EI60" s="187"/>
      <c r="EJ60" s="187"/>
      <c r="EK60" s="187"/>
      <c r="EL60" s="187"/>
      <c r="EM60" s="187"/>
      <c r="EN60" s="161"/>
      <c r="EO60" s="187"/>
      <c r="EP60" s="187"/>
      <c r="EQ60" s="187"/>
      <c r="ER60" s="187"/>
      <c r="ES60" s="187"/>
      <c r="ET60" s="187"/>
      <c r="EU60" s="187"/>
      <c r="EV60" s="187"/>
      <c r="EW60" s="187"/>
      <c r="EX60" s="187"/>
      <c r="EY60" s="161"/>
      <c r="EZ60" s="187"/>
      <c r="FA60" s="187"/>
      <c r="FB60" s="187"/>
      <c r="FC60" s="187"/>
      <c r="FD60" s="187"/>
      <c r="FE60" s="187"/>
      <c r="FF60" s="187"/>
      <c r="FG60" s="187"/>
      <c r="FH60" s="187"/>
      <c r="FI60" s="187"/>
      <c r="FJ60" s="161"/>
      <c r="FK60" s="187"/>
      <c r="FL60" s="187"/>
      <c r="FM60" s="187"/>
      <c r="FN60" s="187"/>
      <c r="FO60" s="187"/>
      <c r="FP60" s="187"/>
      <c r="FQ60" s="187"/>
      <c r="FR60" s="187"/>
      <c r="FS60" s="187"/>
      <c r="FT60" s="187"/>
      <c r="FU60" s="161"/>
      <c r="FV60" s="187"/>
      <c r="FW60" s="187"/>
      <c r="FX60" s="187"/>
      <c r="FY60" s="187"/>
      <c r="FZ60" s="187"/>
      <c r="GA60" s="187"/>
      <c r="GB60" s="187"/>
      <c r="GC60" s="187"/>
      <c r="GD60" s="187"/>
      <c r="GE60" s="187"/>
      <c r="GF60" s="161"/>
      <c r="GG60" s="187"/>
      <c r="GH60" s="187"/>
      <c r="GI60" s="187"/>
      <c r="GJ60" s="187"/>
      <c r="GK60" s="187"/>
      <c r="GL60" s="187"/>
      <c r="GM60" s="187"/>
      <c r="GN60" s="187"/>
      <c r="GO60" s="187"/>
      <c r="GP60" s="187"/>
      <c r="GQ60" s="161"/>
      <c r="GR60" s="187"/>
      <c r="GS60" s="187"/>
      <c r="GT60" s="187"/>
      <c r="GU60" s="187"/>
      <c r="GV60" s="187"/>
      <c r="GW60" s="187"/>
      <c r="GX60" s="187"/>
      <c r="GY60" s="187"/>
      <c r="GZ60" s="187"/>
      <c r="HA60" s="187"/>
      <c r="HB60" s="161"/>
      <c r="HC60" s="187"/>
      <c r="HD60" s="187"/>
      <c r="HE60" s="187"/>
      <c r="HF60" s="187"/>
      <c r="HG60" s="187"/>
      <c r="HH60" s="187"/>
      <c r="HI60" s="187"/>
      <c r="HJ60" s="187"/>
      <c r="HK60" s="187"/>
      <c r="HL60" s="187"/>
      <c r="HM60" s="161"/>
      <c r="HN60" s="187"/>
      <c r="HO60" s="187"/>
      <c r="HP60" s="187"/>
      <c r="HQ60" s="187"/>
      <c r="HR60" s="187"/>
      <c r="HS60" s="187"/>
      <c r="HT60" s="187"/>
      <c r="HU60" s="187"/>
      <c r="HV60" s="187"/>
      <c r="HW60" s="187"/>
      <c r="HX60" s="161"/>
      <c r="HY60" s="187"/>
      <c r="HZ60" s="187"/>
      <c r="IA60" s="187"/>
      <c r="IB60" s="187"/>
      <c r="IC60" s="187"/>
      <c r="ID60" s="187"/>
      <c r="IE60" s="187"/>
      <c r="IF60" s="187"/>
      <c r="IG60" s="187"/>
      <c r="IH60" s="187"/>
      <c r="II60" s="161"/>
      <c r="IJ60" s="187"/>
      <c r="IK60" s="187"/>
      <c r="IL60" s="187"/>
      <c r="IM60" s="187"/>
      <c r="IN60" s="187"/>
      <c r="IO60" s="187"/>
      <c r="IP60" s="187"/>
      <c r="IQ60" s="187"/>
      <c r="IR60" s="187"/>
      <c r="IS60" s="187"/>
      <c r="IT60" s="161"/>
      <c r="IU60" s="187"/>
      <c r="IV60" s="187"/>
    </row>
    <row r="61" spans="1:256" s="186" customFormat="1" ht="146.44999999999999" customHeight="1">
      <c r="A61" s="399"/>
      <c r="B61" s="400"/>
      <c r="C61" s="400"/>
      <c r="D61" s="400"/>
      <c r="E61" s="400"/>
      <c r="F61" s="400"/>
      <c r="G61" s="400"/>
      <c r="H61" s="400"/>
      <c r="I61" s="400"/>
      <c r="J61" s="400"/>
      <c r="K61" s="400"/>
      <c r="L61" s="147"/>
      <c r="M61" s="187"/>
      <c r="N61" s="187"/>
      <c r="O61" s="187"/>
      <c r="P61" s="187"/>
      <c r="Q61" s="187"/>
      <c r="R61" s="187"/>
      <c r="S61" s="187"/>
      <c r="T61" s="187"/>
      <c r="U61" s="187"/>
      <c r="V61" s="187"/>
      <c r="W61" s="161"/>
      <c r="X61" s="187"/>
      <c r="Y61" s="187"/>
      <c r="Z61" s="187"/>
      <c r="AA61" s="187"/>
      <c r="AB61" s="187"/>
      <c r="AC61" s="187"/>
      <c r="AD61" s="187"/>
      <c r="AE61" s="187"/>
      <c r="AF61" s="187"/>
      <c r="AG61" s="187"/>
      <c r="AH61" s="161"/>
      <c r="AI61" s="187"/>
      <c r="AJ61" s="187"/>
      <c r="AK61" s="187"/>
      <c r="AL61" s="187"/>
      <c r="AM61" s="187"/>
      <c r="AN61" s="187"/>
      <c r="AO61" s="187"/>
      <c r="AP61" s="187"/>
      <c r="AQ61" s="187"/>
      <c r="AR61" s="187"/>
      <c r="AS61" s="161"/>
      <c r="AT61" s="187"/>
      <c r="AU61" s="187"/>
      <c r="AV61" s="187"/>
      <c r="AW61" s="187"/>
      <c r="AX61" s="187"/>
      <c r="AY61" s="187"/>
      <c r="AZ61" s="187"/>
      <c r="BA61" s="187"/>
      <c r="BB61" s="187"/>
      <c r="BC61" s="187"/>
      <c r="BD61" s="161"/>
      <c r="BE61" s="187"/>
      <c r="BF61" s="187"/>
      <c r="BG61" s="187"/>
      <c r="BH61" s="187"/>
      <c r="BI61" s="187"/>
      <c r="BJ61" s="187"/>
      <c r="BK61" s="187"/>
      <c r="BL61" s="187"/>
      <c r="BM61" s="187"/>
      <c r="BN61" s="187"/>
      <c r="BO61" s="161"/>
      <c r="BP61" s="187"/>
      <c r="BQ61" s="187"/>
      <c r="BR61" s="187"/>
      <c r="BS61" s="187"/>
      <c r="BT61" s="187"/>
      <c r="BU61" s="187"/>
      <c r="BV61" s="187"/>
      <c r="BW61" s="187"/>
      <c r="BX61" s="187"/>
      <c r="BY61" s="187"/>
      <c r="BZ61" s="161"/>
      <c r="CA61" s="187"/>
      <c r="CB61" s="187"/>
      <c r="CC61" s="187"/>
      <c r="CD61" s="187"/>
      <c r="CE61" s="187"/>
      <c r="CF61" s="187"/>
      <c r="CG61" s="187"/>
      <c r="CH61" s="187"/>
      <c r="CI61" s="187"/>
      <c r="CJ61" s="187"/>
      <c r="CK61" s="161"/>
      <c r="CL61" s="187"/>
      <c r="CM61" s="187"/>
      <c r="CN61" s="187"/>
      <c r="CO61" s="187"/>
      <c r="CP61" s="187"/>
      <c r="CQ61" s="187"/>
      <c r="CR61" s="187"/>
      <c r="CS61" s="187"/>
      <c r="CT61" s="187"/>
      <c r="CU61" s="187"/>
      <c r="CV61" s="161"/>
      <c r="CW61" s="187"/>
      <c r="CX61" s="187"/>
      <c r="CY61" s="187"/>
      <c r="CZ61" s="187"/>
      <c r="DA61" s="187"/>
      <c r="DB61" s="187"/>
      <c r="DC61" s="187"/>
      <c r="DD61" s="187"/>
      <c r="DE61" s="187"/>
      <c r="DF61" s="187"/>
      <c r="DG61" s="161"/>
      <c r="DH61" s="187"/>
      <c r="DI61" s="187"/>
      <c r="DJ61" s="187"/>
      <c r="DK61" s="187"/>
      <c r="DL61" s="187"/>
      <c r="DM61" s="187"/>
      <c r="DN61" s="187"/>
      <c r="DO61" s="187"/>
      <c r="DP61" s="187"/>
      <c r="DQ61" s="187"/>
      <c r="DR61" s="161"/>
      <c r="DS61" s="187"/>
      <c r="DT61" s="187"/>
      <c r="DU61" s="187"/>
      <c r="DV61" s="187"/>
      <c r="DW61" s="187"/>
      <c r="DX61" s="187"/>
      <c r="DY61" s="187"/>
      <c r="DZ61" s="187"/>
      <c r="EA61" s="187"/>
      <c r="EB61" s="187"/>
      <c r="EC61" s="161"/>
      <c r="ED61" s="187"/>
      <c r="EE61" s="187"/>
      <c r="EF61" s="187"/>
      <c r="EG61" s="187"/>
      <c r="EH61" s="187"/>
      <c r="EI61" s="187"/>
      <c r="EJ61" s="187"/>
      <c r="EK61" s="187"/>
      <c r="EL61" s="187"/>
      <c r="EM61" s="187"/>
      <c r="EN61" s="161"/>
      <c r="EO61" s="187"/>
      <c r="EP61" s="187"/>
      <c r="EQ61" s="187"/>
      <c r="ER61" s="187"/>
      <c r="ES61" s="187"/>
      <c r="ET61" s="187"/>
      <c r="EU61" s="187"/>
      <c r="EV61" s="187"/>
      <c r="EW61" s="187"/>
      <c r="EX61" s="187"/>
      <c r="EY61" s="161"/>
      <c r="EZ61" s="187"/>
      <c r="FA61" s="187"/>
      <c r="FB61" s="187"/>
      <c r="FC61" s="187"/>
      <c r="FD61" s="187"/>
      <c r="FE61" s="187"/>
      <c r="FF61" s="187"/>
      <c r="FG61" s="187"/>
      <c r="FH61" s="187"/>
      <c r="FI61" s="187"/>
      <c r="FJ61" s="161"/>
      <c r="FK61" s="187"/>
      <c r="FL61" s="187"/>
      <c r="FM61" s="187"/>
      <c r="FN61" s="187"/>
      <c r="FO61" s="187"/>
      <c r="FP61" s="187"/>
      <c r="FQ61" s="187"/>
      <c r="FR61" s="187"/>
      <c r="FS61" s="187"/>
      <c r="FT61" s="187"/>
      <c r="FU61" s="161"/>
      <c r="FV61" s="187"/>
      <c r="FW61" s="187"/>
      <c r="FX61" s="187"/>
      <c r="FY61" s="187"/>
      <c r="FZ61" s="187"/>
      <c r="GA61" s="187"/>
      <c r="GB61" s="187"/>
      <c r="GC61" s="187"/>
      <c r="GD61" s="187"/>
      <c r="GE61" s="187"/>
      <c r="GF61" s="161"/>
      <c r="GG61" s="187"/>
      <c r="GH61" s="187"/>
      <c r="GI61" s="187"/>
      <c r="GJ61" s="187"/>
      <c r="GK61" s="187"/>
      <c r="GL61" s="187"/>
      <c r="GM61" s="187"/>
      <c r="GN61" s="187"/>
      <c r="GO61" s="187"/>
      <c r="GP61" s="187"/>
      <c r="GQ61" s="161"/>
      <c r="GR61" s="187"/>
      <c r="GS61" s="187"/>
      <c r="GT61" s="187"/>
      <c r="GU61" s="187"/>
      <c r="GV61" s="187"/>
      <c r="GW61" s="187"/>
      <c r="GX61" s="187"/>
      <c r="GY61" s="187"/>
      <c r="GZ61" s="187"/>
      <c r="HA61" s="187"/>
      <c r="HB61" s="161"/>
      <c r="HC61" s="187"/>
      <c r="HD61" s="187"/>
      <c r="HE61" s="187"/>
      <c r="HF61" s="187"/>
      <c r="HG61" s="187"/>
      <c r="HH61" s="187"/>
      <c r="HI61" s="187"/>
      <c r="HJ61" s="187"/>
      <c r="HK61" s="187"/>
      <c r="HL61" s="187"/>
      <c r="HM61" s="161"/>
      <c r="HN61" s="187"/>
      <c r="HO61" s="187"/>
      <c r="HP61" s="187"/>
      <c r="HQ61" s="187"/>
      <c r="HR61" s="187"/>
      <c r="HS61" s="187"/>
      <c r="HT61" s="187"/>
      <c r="HU61" s="187"/>
      <c r="HV61" s="187"/>
      <c r="HW61" s="187"/>
      <c r="HX61" s="161"/>
      <c r="HY61" s="187"/>
      <c r="HZ61" s="187"/>
      <c r="IA61" s="187"/>
      <c r="IB61" s="187"/>
      <c r="IC61" s="187"/>
      <c r="ID61" s="187"/>
      <c r="IE61" s="187"/>
      <c r="IF61" s="187"/>
      <c r="IG61" s="187"/>
      <c r="IH61" s="187"/>
      <c r="II61" s="161"/>
      <c r="IJ61" s="187"/>
      <c r="IK61" s="187"/>
      <c r="IL61" s="187"/>
      <c r="IM61" s="187"/>
      <c r="IN61" s="187"/>
      <c r="IO61" s="187"/>
      <c r="IP61" s="187"/>
      <c r="IQ61" s="187"/>
      <c r="IR61" s="187"/>
      <c r="IS61" s="187"/>
      <c r="IT61" s="161"/>
      <c r="IU61" s="187"/>
      <c r="IV61" s="187"/>
    </row>
    <row r="62" spans="1:256" ht="14.45" customHeight="1">
      <c r="A62" s="145"/>
      <c r="B62" s="161" t="s">
        <v>154</v>
      </c>
      <c r="C62" s="161"/>
      <c r="D62" s="161"/>
      <c r="E62" s="161"/>
      <c r="F62" s="161"/>
      <c r="G62" s="161"/>
      <c r="H62" s="161"/>
      <c r="I62" s="176"/>
      <c r="J62" s="176"/>
      <c r="K62" s="161"/>
      <c r="L62" s="150"/>
    </row>
    <row r="63" spans="1:256">
      <c r="A63" s="145"/>
      <c r="B63" s="161"/>
      <c r="C63" s="161"/>
      <c r="D63" s="161"/>
      <c r="E63" s="161"/>
      <c r="F63" s="161"/>
      <c r="G63" s="161"/>
      <c r="H63" s="161"/>
      <c r="I63" s="176"/>
      <c r="J63" s="315"/>
      <c r="K63" s="161"/>
      <c r="L63" s="150"/>
    </row>
    <row r="64" spans="1:256">
      <c r="A64" s="145"/>
      <c r="B64" s="161"/>
      <c r="C64" s="161"/>
      <c r="D64" s="161"/>
      <c r="E64" s="161"/>
      <c r="F64" s="161"/>
      <c r="G64" s="161"/>
      <c r="H64" s="161"/>
      <c r="I64" s="176"/>
      <c r="J64" s="176"/>
      <c r="K64" s="161"/>
      <c r="L64" s="150"/>
    </row>
    <row r="65" spans="1:12" ht="37.5" customHeight="1">
      <c r="A65" s="145"/>
      <c r="B65" s="161"/>
      <c r="C65" s="161"/>
      <c r="D65" s="161"/>
      <c r="E65" s="161"/>
      <c r="F65" s="161"/>
      <c r="G65" s="161"/>
      <c r="H65" s="161"/>
      <c r="I65" s="176"/>
      <c r="J65" s="176"/>
      <c r="K65" s="161"/>
      <c r="L65" s="150"/>
    </row>
    <row r="66" spans="1:12">
      <c r="A66" s="145"/>
      <c r="B66" s="357" t="s">
        <v>157</v>
      </c>
      <c r="C66" s="357"/>
      <c r="D66" s="357"/>
      <c r="E66" s="161"/>
      <c r="F66" s="161"/>
      <c r="G66" s="161"/>
      <c r="H66" s="161"/>
      <c r="I66" s="161"/>
      <c r="J66" s="161"/>
      <c r="K66" s="161"/>
      <c r="L66" s="150"/>
    </row>
    <row r="67" spans="1:12" ht="24" customHeight="1" thickBot="1">
      <c r="A67" s="151"/>
      <c r="B67" s="345" t="s">
        <v>179</v>
      </c>
      <c r="C67" s="345"/>
      <c r="D67" s="345"/>
      <c r="E67" s="152"/>
      <c r="F67" s="152"/>
      <c r="G67" s="152"/>
      <c r="H67" s="152"/>
      <c r="I67" s="152"/>
      <c r="J67" s="152"/>
      <c r="K67" s="152"/>
      <c r="L67" s="153"/>
    </row>
    <row r="68" spans="1:12">
      <c r="L68" s="155"/>
    </row>
    <row r="69" spans="1:12">
      <c r="L69" s="155"/>
    </row>
    <row r="70" spans="1:12">
      <c r="L70" s="155"/>
    </row>
    <row r="71" spans="1:12">
      <c r="L71" s="155"/>
    </row>
    <row r="72" spans="1:12">
      <c r="L72" s="155"/>
    </row>
    <row r="73" spans="1:12">
      <c r="L73" s="155"/>
    </row>
    <row r="74" spans="1:12">
      <c r="L74" s="155"/>
    </row>
    <row r="75" spans="1:12">
      <c r="L75" s="155"/>
    </row>
    <row r="76" spans="1:12">
      <c r="L76" s="155"/>
    </row>
    <row r="77" spans="1:12">
      <c r="L77" s="155"/>
    </row>
    <row r="78" spans="1:12">
      <c r="L78" s="155"/>
    </row>
    <row r="79" spans="1:12">
      <c r="L79" s="155"/>
    </row>
    <row r="80" spans="1:12">
      <c r="L80" s="155"/>
    </row>
    <row r="81" spans="12:12">
      <c r="L81" s="155"/>
    </row>
    <row r="82" spans="12:12">
      <c r="L82" s="155"/>
    </row>
    <row r="83" spans="12:12">
      <c r="L83" s="155"/>
    </row>
    <row r="84" spans="12:12">
      <c r="L84" s="155"/>
    </row>
    <row r="85" spans="12:12">
      <c r="L85" s="155"/>
    </row>
    <row r="86" spans="12:12">
      <c r="L86" s="155"/>
    </row>
    <row r="87" spans="12:12">
      <c r="L87" s="155"/>
    </row>
    <row r="88" spans="12:12">
      <c r="L88" s="155"/>
    </row>
    <row r="89" spans="12:12">
      <c r="L89" s="155"/>
    </row>
    <row r="90" spans="12:12">
      <c r="L90" s="155"/>
    </row>
    <row r="91" spans="12:12">
      <c r="L91" s="155"/>
    </row>
    <row r="92" spans="12:12">
      <c r="L92" s="155"/>
    </row>
    <row r="93" spans="12:12">
      <c r="L93" s="155"/>
    </row>
    <row r="94" spans="12:12">
      <c r="L94" s="155"/>
    </row>
    <row r="95" spans="12:12">
      <c r="L95" s="155"/>
    </row>
    <row r="96" spans="12:12">
      <c r="L96" s="155"/>
    </row>
    <row r="97" spans="12:12">
      <c r="L97" s="155"/>
    </row>
    <row r="98" spans="12:12">
      <c r="L98" s="155"/>
    </row>
    <row r="99" spans="12:12">
      <c r="L99" s="155"/>
    </row>
    <row r="100" spans="12:12">
      <c r="L100" s="155"/>
    </row>
    <row r="101" spans="12:12">
      <c r="L101" s="155"/>
    </row>
    <row r="102" spans="12:12">
      <c r="L102" s="155"/>
    </row>
    <row r="103" spans="12:12">
      <c r="L103" s="155"/>
    </row>
    <row r="104" spans="12:12">
      <c r="L104" s="155"/>
    </row>
    <row r="105" spans="12:12">
      <c r="L105" s="155"/>
    </row>
    <row r="106" spans="12:12">
      <c r="L106" s="155"/>
    </row>
    <row r="107" spans="12:12">
      <c r="L107" s="155"/>
    </row>
    <row r="108" spans="12:12">
      <c r="L108" s="155"/>
    </row>
    <row r="109" spans="12:12">
      <c r="L109" s="155"/>
    </row>
    <row r="110" spans="12:12">
      <c r="L110" s="155"/>
    </row>
    <row r="111" spans="12:12">
      <c r="L111" s="155"/>
    </row>
    <row r="112" spans="12:12">
      <c r="L112" s="155"/>
    </row>
    <row r="113" spans="12:12">
      <c r="L113" s="155"/>
    </row>
    <row r="114" spans="12:12">
      <c r="L114" s="155"/>
    </row>
    <row r="115" spans="12:12">
      <c r="L115" s="155"/>
    </row>
    <row r="116" spans="12:12">
      <c r="L116" s="155"/>
    </row>
    <row r="117" spans="12:12">
      <c r="L117" s="155"/>
    </row>
    <row r="118" spans="12:12">
      <c r="L118" s="155"/>
    </row>
    <row r="119" spans="12:12">
      <c r="L119" s="155"/>
    </row>
    <row r="120" spans="12:12">
      <c r="L120" s="155"/>
    </row>
    <row r="121" spans="12:12">
      <c r="L121" s="155"/>
    </row>
    <row r="122" spans="12:12">
      <c r="L122" s="155"/>
    </row>
    <row r="123" spans="12:12">
      <c r="L123" s="155"/>
    </row>
    <row r="124" spans="12:12">
      <c r="L124" s="155"/>
    </row>
    <row r="125" spans="12:12">
      <c r="L125" s="155"/>
    </row>
    <row r="126" spans="12:12">
      <c r="L126" s="155"/>
    </row>
    <row r="127" spans="12:12">
      <c r="L127" s="155"/>
    </row>
    <row r="128" spans="12:12">
      <c r="L128" s="155"/>
    </row>
    <row r="129" spans="12:12">
      <c r="L129" s="155"/>
    </row>
    <row r="130" spans="12:12">
      <c r="L130" s="155"/>
    </row>
    <row r="131" spans="12:12">
      <c r="L131" s="155"/>
    </row>
    <row r="132" spans="12:12">
      <c r="L132" s="155"/>
    </row>
    <row r="133" spans="12:12">
      <c r="L133" s="155"/>
    </row>
    <row r="134" spans="12:12">
      <c r="L134" s="155"/>
    </row>
    <row r="135" spans="12:12">
      <c r="L135" s="155"/>
    </row>
    <row r="136" spans="12:12">
      <c r="L136" s="155"/>
    </row>
    <row r="137" spans="12:12">
      <c r="L137" s="155"/>
    </row>
    <row r="138" spans="12:12">
      <c r="L138" s="155"/>
    </row>
    <row r="139" spans="12:12">
      <c r="L139" s="155"/>
    </row>
    <row r="140" spans="12:12">
      <c r="L140" s="155"/>
    </row>
    <row r="141" spans="12:12">
      <c r="L141" s="155"/>
    </row>
    <row r="142" spans="12:12">
      <c r="L142" s="155"/>
    </row>
    <row r="143" spans="12:12">
      <c r="L143" s="155"/>
    </row>
    <row r="144" spans="12:12">
      <c r="L144" s="155"/>
    </row>
    <row r="145" spans="12:12">
      <c r="L145" s="155"/>
    </row>
    <row r="146" spans="12:12">
      <c r="L146" s="155"/>
    </row>
    <row r="147" spans="12:12">
      <c r="L147" s="155"/>
    </row>
    <row r="148" spans="12:12">
      <c r="L148" s="155"/>
    </row>
    <row r="149" spans="12:12">
      <c r="L149" s="155"/>
    </row>
    <row r="150" spans="12:12">
      <c r="L150" s="155"/>
    </row>
    <row r="151" spans="12:12">
      <c r="L151" s="155"/>
    </row>
    <row r="152" spans="12:12">
      <c r="L152" s="155"/>
    </row>
    <row r="153" spans="12:12">
      <c r="L153" s="155"/>
    </row>
    <row r="154" spans="12:12">
      <c r="L154" s="155"/>
    </row>
  </sheetData>
  <sheetProtection selectLockedCells="1" selectUnlockedCells="1"/>
  <mergeCells count="117">
    <mergeCell ref="J45:K45"/>
    <mergeCell ref="J46:K46"/>
    <mergeCell ref="B45:D45"/>
    <mergeCell ref="G55:H55"/>
    <mergeCell ref="J55:K55"/>
    <mergeCell ref="B57:D57"/>
    <mergeCell ref="E57:F57"/>
    <mergeCell ref="A61:K61"/>
    <mergeCell ref="A60:K60"/>
    <mergeCell ref="B59:D59"/>
    <mergeCell ref="E59:F59"/>
    <mergeCell ref="G59:H59"/>
    <mergeCell ref="J59:K59"/>
    <mergeCell ref="B54:D54"/>
    <mergeCell ref="E54:F54"/>
    <mergeCell ref="G54:H54"/>
    <mergeCell ref="J54:K54"/>
    <mergeCell ref="B58:D58"/>
    <mergeCell ref="E58:F58"/>
    <mergeCell ref="G58:H58"/>
    <mergeCell ref="J58:K58"/>
    <mergeCell ref="B55:D55"/>
    <mergeCell ref="E55:F55"/>
    <mergeCell ref="G57:H57"/>
    <mergeCell ref="J57:K57"/>
    <mergeCell ref="E46:F46"/>
    <mergeCell ref="G46:H46"/>
    <mergeCell ref="A32:L32"/>
    <mergeCell ref="A33:L33"/>
    <mergeCell ref="A27:K30"/>
    <mergeCell ref="A42:K42"/>
    <mergeCell ref="A37:L37"/>
    <mergeCell ref="A34:L34"/>
    <mergeCell ref="G45:H45"/>
    <mergeCell ref="B46:D46"/>
    <mergeCell ref="E45:F45"/>
    <mergeCell ref="E48:F48"/>
    <mergeCell ref="G48:H48"/>
    <mergeCell ref="J48:K48"/>
    <mergeCell ref="B47:D47"/>
    <mergeCell ref="E47:F47"/>
    <mergeCell ref="G47:H47"/>
    <mergeCell ref="J47:K47"/>
    <mergeCell ref="B48:D48"/>
    <mergeCell ref="J49:K49"/>
    <mergeCell ref="B50:D50"/>
    <mergeCell ref="E50:F50"/>
    <mergeCell ref="A1:L1"/>
    <mergeCell ref="A2:L2"/>
    <mergeCell ref="A3:L3"/>
    <mergeCell ref="A5:L5"/>
    <mergeCell ref="D11:F11"/>
    <mergeCell ref="F12:G12"/>
    <mergeCell ref="J12:K12"/>
    <mergeCell ref="D10:F10"/>
    <mergeCell ref="D6:G6"/>
    <mergeCell ref="J6:K6"/>
    <mergeCell ref="A22:K22"/>
    <mergeCell ref="A36:L36"/>
    <mergeCell ref="A26:L26"/>
    <mergeCell ref="B44:D44"/>
    <mergeCell ref="E44:F44"/>
    <mergeCell ref="G44:H44"/>
    <mergeCell ref="J44:K44"/>
    <mergeCell ref="A31:L31"/>
    <mergeCell ref="A43:L43"/>
    <mergeCell ref="A38:L38"/>
    <mergeCell ref="A23:K23"/>
    <mergeCell ref="B52:D52"/>
    <mergeCell ref="E52:F52"/>
    <mergeCell ref="G52:H52"/>
    <mergeCell ref="G56:H56"/>
    <mergeCell ref="J56:K56"/>
    <mergeCell ref="B53:D53"/>
    <mergeCell ref="E53:F53"/>
    <mergeCell ref="G53:H53"/>
    <mergeCell ref="J53:K53"/>
    <mergeCell ref="G50:H50"/>
    <mergeCell ref="J50:K50"/>
    <mergeCell ref="B49:D49"/>
    <mergeCell ref="E49:F49"/>
    <mergeCell ref="G49:H49"/>
    <mergeCell ref="A15:L15"/>
    <mergeCell ref="B67:D67"/>
    <mergeCell ref="A35:L35"/>
    <mergeCell ref="B51:D51"/>
    <mergeCell ref="E51:F51"/>
    <mergeCell ref="G51:H51"/>
    <mergeCell ref="J51:K51"/>
    <mergeCell ref="J52:K52"/>
    <mergeCell ref="B56:D56"/>
    <mergeCell ref="E56:F56"/>
    <mergeCell ref="A41:F41"/>
    <mergeCell ref="G41:K41"/>
    <mergeCell ref="A39:F39"/>
    <mergeCell ref="A24:K24"/>
    <mergeCell ref="A25:K25"/>
    <mergeCell ref="G39:K39"/>
    <mergeCell ref="A40:F40"/>
    <mergeCell ref="G40:K40"/>
    <mergeCell ref="B66:D66"/>
    <mergeCell ref="C13:D13"/>
    <mergeCell ref="D7:G7"/>
    <mergeCell ref="D8:G8"/>
    <mergeCell ref="J8:K8"/>
    <mergeCell ref="D9:F9"/>
    <mergeCell ref="E13:F13"/>
    <mergeCell ref="B20:F20"/>
    <mergeCell ref="G20:K20"/>
    <mergeCell ref="B21:F21"/>
    <mergeCell ref="G21:K21"/>
    <mergeCell ref="B16:K16"/>
    <mergeCell ref="B18:F18"/>
    <mergeCell ref="G18:K18"/>
    <mergeCell ref="B19:F19"/>
    <mergeCell ref="G19:K19"/>
    <mergeCell ref="B17:K17"/>
  </mergeCells>
  <pageMargins left="0.74803149606299213" right="0.27559055118110237" top="0.35433070866141736" bottom="0.39370078740157483" header="0.31496062992125984" footer="0.23622047244094491"/>
  <pageSetup scale="87" orientation="portrait" r:id="rId1"/>
  <headerFooter>
    <oddFooter>&amp;L&amp;6GAP-PR-05-FR-05 VERSIÓN 3 14-11-2012</oddFooter>
  </headerFooter>
  <rowBreaks count="3" manualBreakCount="3">
    <brk id="23" max="11" man="1"/>
    <brk id="25" max="11" man="1"/>
    <brk id="41" max="11" man="1"/>
  </rowBreaks>
  <drawing r:id="rId2"/>
  <legacyDrawing r:id="rId3"/>
</worksheet>
</file>

<file path=xl/worksheets/sheet3.xml><?xml version="1.0" encoding="utf-8"?>
<worksheet xmlns="http://schemas.openxmlformats.org/spreadsheetml/2006/main" xmlns:r="http://schemas.openxmlformats.org/officeDocument/2006/relationships">
  <dimension ref="A1:I167"/>
  <sheetViews>
    <sheetView view="pageBreakPreview" topLeftCell="A140" zoomScale="93" zoomScaleNormal="70" zoomScaleSheetLayoutView="93" workbookViewId="0">
      <selection activeCell="H23" sqref="H23"/>
    </sheetView>
  </sheetViews>
  <sheetFormatPr baseColWidth="10" defaultRowHeight="15"/>
  <cols>
    <col min="1" max="1" width="5" customWidth="1"/>
    <col min="2" max="2" width="39.42578125" style="1" customWidth="1"/>
    <col min="3" max="3" width="15.85546875" customWidth="1"/>
    <col min="4" max="4" width="12.42578125" customWidth="1"/>
    <col min="5" max="5" width="20.28515625" customWidth="1"/>
    <col min="6" max="6" width="19.7109375" style="42" customWidth="1"/>
    <col min="7" max="7" width="16.42578125" style="134" customWidth="1"/>
    <col min="8" max="8" width="14.5703125" bestFit="1" customWidth="1"/>
  </cols>
  <sheetData>
    <row r="1" spans="1:9" ht="18.75" thickBot="1">
      <c r="A1" s="441" t="s">
        <v>115</v>
      </c>
      <c r="B1" s="442"/>
      <c r="C1" s="442"/>
      <c r="D1" s="227" t="s">
        <v>313</v>
      </c>
      <c r="E1" s="227"/>
      <c r="F1" s="95"/>
    </row>
    <row r="2" spans="1:9" ht="15" customHeight="1">
      <c r="A2" s="46"/>
      <c r="B2" s="275" t="s">
        <v>0</v>
      </c>
      <c r="C2" s="274" t="s">
        <v>1</v>
      </c>
      <c r="D2" s="274" t="s">
        <v>177</v>
      </c>
      <c r="E2" s="274" t="s">
        <v>3</v>
      </c>
      <c r="F2" s="276" t="s">
        <v>32</v>
      </c>
    </row>
    <row r="3" spans="1:9" ht="14.45" customHeight="1">
      <c r="A3" s="86">
        <v>1</v>
      </c>
      <c r="B3" s="422" t="s">
        <v>41</v>
      </c>
      <c r="C3" s="422"/>
      <c r="D3" s="422"/>
      <c r="E3" s="422"/>
      <c r="F3" s="423"/>
    </row>
    <row r="4" spans="1:9" ht="14.45" customHeight="1">
      <c r="A4" s="88">
        <v>1.1000000000000001</v>
      </c>
      <c r="B4" s="435" t="s">
        <v>56</v>
      </c>
      <c r="C4" s="435"/>
      <c r="D4" s="435"/>
      <c r="E4" s="435"/>
      <c r="F4" s="436"/>
    </row>
    <row r="5" spans="1:9" ht="14.45" customHeight="1">
      <c r="A5" s="35"/>
      <c r="B5" s="33" t="s">
        <v>42</v>
      </c>
      <c r="C5" s="28" t="s">
        <v>43</v>
      </c>
      <c r="D5" s="66">
        <v>30</v>
      </c>
      <c r="E5" s="38">
        <f>'Taponamiento de Grietas'!G4</f>
        <v>3733.3565217391306</v>
      </c>
      <c r="F5" s="39">
        <f>D5*E5</f>
        <v>112000.69565217392</v>
      </c>
      <c r="G5" s="135"/>
    </row>
    <row r="6" spans="1:9" ht="14.45" customHeight="1">
      <c r="A6" s="35"/>
      <c r="B6" s="412" t="s">
        <v>4</v>
      </c>
      <c r="C6" s="412"/>
      <c r="D6" s="67"/>
      <c r="E6" s="293">
        <f>ROUND(E5,-0.1)</f>
        <v>3733</v>
      </c>
      <c r="F6" s="40">
        <f>SUM(F5:F5)</f>
        <v>112000.69565217392</v>
      </c>
      <c r="G6" s="136"/>
    </row>
    <row r="7" spans="1:9" ht="14.45" customHeight="1">
      <c r="A7" s="89">
        <v>1.2</v>
      </c>
      <c r="B7" s="439" t="s">
        <v>111</v>
      </c>
      <c r="C7" s="439"/>
      <c r="D7" s="439"/>
      <c r="E7" s="439"/>
      <c r="F7" s="440"/>
    </row>
    <row r="8" spans="1:9">
      <c r="A8" s="35"/>
      <c r="B8" s="33" t="s">
        <v>33</v>
      </c>
      <c r="C8" s="28" t="s">
        <v>7</v>
      </c>
      <c r="D8" s="66">
        <v>15</v>
      </c>
      <c r="E8" s="38">
        <f>Excavacion!E16</f>
        <v>18666.782608695652</v>
      </c>
      <c r="F8" s="39">
        <f>D8*E8</f>
        <v>280001.73913043475</v>
      </c>
      <c r="G8" s="135"/>
    </row>
    <row r="9" spans="1:9">
      <c r="A9" s="35"/>
      <c r="B9" s="33" t="s">
        <v>34</v>
      </c>
      <c r="C9" s="28" t="s">
        <v>7</v>
      </c>
      <c r="D9" s="66">
        <f>D8</f>
        <v>15</v>
      </c>
      <c r="E9" s="38">
        <f>'Conformacion de obras'!G13</f>
        <v>48428.055826086951</v>
      </c>
      <c r="F9" s="39">
        <f>D9*E9</f>
        <v>726420.83739130432</v>
      </c>
    </row>
    <row r="10" spans="1:9">
      <c r="A10" s="35"/>
      <c r="B10" s="412" t="s">
        <v>4</v>
      </c>
      <c r="C10" s="412"/>
      <c r="D10" s="67"/>
      <c r="E10" s="234">
        <f>SUM(E8:E9)</f>
        <v>67094.838434782607</v>
      </c>
      <c r="F10" s="40">
        <f>SUM(F8:F9)</f>
        <v>1006422.5765217391</v>
      </c>
    </row>
    <row r="11" spans="1:9">
      <c r="A11" s="92">
        <v>1.3</v>
      </c>
      <c r="B11" s="449" t="s">
        <v>112</v>
      </c>
      <c r="C11" s="450"/>
      <c r="D11" s="450"/>
      <c r="E11" s="450"/>
      <c r="F11" s="451"/>
    </row>
    <row r="12" spans="1:9">
      <c r="A12" s="35"/>
      <c r="B12" s="33" t="s">
        <v>33</v>
      </c>
      <c r="C12" s="28" t="s">
        <v>7</v>
      </c>
      <c r="D12" s="254">
        <f>(250/3)*0.8</f>
        <v>66.666666666666671</v>
      </c>
      <c r="E12" s="38">
        <f>Excavacion!E24</f>
        <v>4704.0292173913049</v>
      </c>
      <c r="F12" s="39">
        <f>D12*E12</f>
        <v>313601.94782608701</v>
      </c>
      <c r="G12" s="135"/>
    </row>
    <row r="13" spans="1:9">
      <c r="A13" s="35"/>
      <c r="B13" s="33" t="s">
        <v>34</v>
      </c>
      <c r="C13" s="28" t="s">
        <v>7</v>
      </c>
      <c r="D13" s="66">
        <f>D12</f>
        <v>66.666666666666671</v>
      </c>
      <c r="E13" s="38">
        <f>'Conformacion de obras'!G26</f>
        <v>35561.368869565216</v>
      </c>
      <c r="F13" s="39">
        <f>D13*E13</f>
        <v>2370757.9246376813</v>
      </c>
    </row>
    <row r="14" spans="1:9">
      <c r="A14" s="35"/>
      <c r="B14" s="445" t="s">
        <v>4</v>
      </c>
      <c r="C14" s="446"/>
      <c r="D14" s="67"/>
      <c r="E14" s="234">
        <f>SUM(E12:E13)</f>
        <v>40265.39808695652</v>
      </c>
      <c r="F14" s="40">
        <f>SUM(F12:F13)</f>
        <v>2684359.8724637683</v>
      </c>
      <c r="G14" s="136"/>
      <c r="H14" s="239"/>
      <c r="I14" s="266"/>
    </row>
    <row r="15" spans="1:9">
      <c r="A15" s="126">
        <v>1.4</v>
      </c>
      <c r="B15" s="416" t="s">
        <v>113</v>
      </c>
      <c r="C15" s="416"/>
      <c r="D15" s="416"/>
      <c r="E15" s="416"/>
      <c r="F15" s="417"/>
    </row>
    <row r="16" spans="1:9">
      <c r="A16" s="35"/>
      <c r="B16" s="33" t="s">
        <v>35</v>
      </c>
      <c r="C16" s="28" t="s">
        <v>7</v>
      </c>
      <c r="D16" s="66">
        <v>22</v>
      </c>
      <c r="E16" s="38">
        <f>Excavacion!E32</f>
        <v>19320.12</v>
      </c>
      <c r="F16" s="39">
        <f>D16*E16</f>
        <v>425042.63999999996</v>
      </c>
      <c r="G16" s="135"/>
      <c r="H16" s="266"/>
    </row>
    <row r="17" spans="1:7">
      <c r="A17" s="35"/>
      <c r="B17" s="33" t="s">
        <v>36</v>
      </c>
      <c r="C17" s="28" t="s">
        <v>7</v>
      </c>
      <c r="D17" s="66">
        <f>D16</f>
        <v>22</v>
      </c>
      <c r="E17" s="38">
        <f>'Conformacion de obras'!G40</f>
        <v>50190.609630434774</v>
      </c>
      <c r="F17" s="39">
        <f>D17*E17</f>
        <v>1104193.411869565</v>
      </c>
    </row>
    <row r="18" spans="1:7">
      <c r="A18" s="35"/>
      <c r="B18" s="412" t="s">
        <v>4</v>
      </c>
      <c r="C18" s="412"/>
      <c r="D18" s="67"/>
      <c r="E18" s="234">
        <f>SUM(E16:E17)</f>
        <v>69510.729630434769</v>
      </c>
      <c r="F18" s="40">
        <f>SUM(F16:F17)</f>
        <v>1529236.0518695649</v>
      </c>
    </row>
    <row r="19" spans="1:7">
      <c r="A19" s="93">
        <v>1.5</v>
      </c>
      <c r="B19" s="443" t="s">
        <v>114</v>
      </c>
      <c r="C19" s="443"/>
      <c r="D19" s="443"/>
      <c r="E19" s="443"/>
      <c r="F19" s="444"/>
    </row>
    <row r="20" spans="1:7">
      <c r="A20" s="35"/>
      <c r="B20" s="33" t="s">
        <v>35</v>
      </c>
      <c r="C20" s="28" t="s">
        <v>7</v>
      </c>
      <c r="D20" s="66">
        <v>18</v>
      </c>
      <c r="E20" s="38">
        <f>Excavacion!E40</f>
        <v>4032.0250434782611</v>
      </c>
      <c r="F20" s="39">
        <f>D20*E20</f>
        <v>72576.450782608707</v>
      </c>
      <c r="G20" s="135"/>
    </row>
    <row r="21" spans="1:7">
      <c r="A21" s="35"/>
      <c r="B21" s="33" t="s">
        <v>36</v>
      </c>
      <c r="C21" s="28" t="s">
        <v>7</v>
      </c>
      <c r="D21" s="66">
        <f>D20</f>
        <v>18</v>
      </c>
      <c r="E21" s="38">
        <f>'Conformacion de obras'!G53</f>
        <v>22972.486260869566</v>
      </c>
      <c r="F21" s="39">
        <f>D21*E21</f>
        <v>413504.75269565219</v>
      </c>
    </row>
    <row r="22" spans="1:7">
      <c r="A22" s="35"/>
      <c r="B22" s="412" t="s">
        <v>4</v>
      </c>
      <c r="C22" s="412"/>
      <c r="D22" s="30"/>
      <c r="E22" s="234">
        <f>SUM(E20:E21)</f>
        <v>27004.511304347827</v>
      </c>
      <c r="F22" s="40">
        <f>SUM(F20:F21)</f>
        <v>486081.2034782609</v>
      </c>
    </row>
    <row r="23" spans="1:7">
      <c r="A23" s="91">
        <v>1.6</v>
      </c>
      <c r="B23" s="437" t="s">
        <v>37</v>
      </c>
      <c r="C23" s="437"/>
      <c r="D23" s="437"/>
      <c r="E23" s="437"/>
      <c r="F23" s="438"/>
    </row>
    <row r="24" spans="1:7">
      <c r="A24" s="35"/>
      <c r="B24" s="33" t="s">
        <v>38</v>
      </c>
      <c r="C24" s="28" t="s">
        <v>7</v>
      </c>
      <c r="D24" s="66">
        <v>250</v>
      </c>
      <c r="E24" s="38">
        <f>Excavacion!E48</f>
        <v>4480.0278260869563</v>
      </c>
      <c r="F24" s="39">
        <f>D24*E24</f>
        <v>1120006.956521739</v>
      </c>
      <c r="G24" s="135"/>
    </row>
    <row r="25" spans="1:7">
      <c r="A25" s="35"/>
      <c r="B25" s="33" t="s">
        <v>39</v>
      </c>
      <c r="C25" s="28" t="s">
        <v>7</v>
      </c>
      <c r="D25" s="66">
        <f>D24</f>
        <v>250</v>
      </c>
      <c r="E25" s="38">
        <f>'Conformacion de obras'!G68</f>
        <v>44518.569490683229</v>
      </c>
      <c r="F25" s="39">
        <f>D25*E25</f>
        <v>11129642.372670807</v>
      </c>
    </row>
    <row r="26" spans="1:7">
      <c r="A26" s="35"/>
      <c r="B26" s="412" t="s">
        <v>4</v>
      </c>
      <c r="C26" s="412"/>
      <c r="D26" s="30"/>
      <c r="E26" s="234">
        <f>SUM(E24:E25)</f>
        <v>48998.597316770189</v>
      </c>
      <c r="F26" s="40">
        <f>SUM(F24:F25)</f>
        <v>12249649.329192545</v>
      </c>
    </row>
    <row r="27" spans="1:7">
      <c r="A27" s="90">
        <v>1.7</v>
      </c>
      <c r="B27" s="452" t="s">
        <v>44</v>
      </c>
      <c r="C27" s="452"/>
      <c r="D27" s="452"/>
      <c r="E27" s="452"/>
      <c r="F27" s="453"/>
    </row>
    <row r="28" spans="1:7">
      <c r="A28" s="35"/>
      <c r="B28" s="33" t="s">
        <v>239</v>
      </c>
      <c r="C28" s="28" t="s">
        <v>45</v>
      </c>
      <c r="D28" s="29">
        <v>200</v>
      </c>
      <c r="E28" s="38">
        <f>Revegetalizacion!G8</f>
        <v>3906.6747826086958</v>
      </c>
      <c r="F28" s="39">
        <f>D28*E28</f>
        <v>781334.95652173914</v>
      </c>
      <c r="G28" s="135"/>
    </row>
    <row r="29" spans="1:7">
      <c r="A29" s="35"/>
      <c r="B29" s="412" t="s">
        <v>4</v>
      </c>
      <c r="C29" s="412"/>
      <c r="D29" s="30"/>
      <c r="E29" s="38"/>
      <c r="F29" s="40">
        <f>SUM(F28:F28)</f>
        <v>781334.95652173914</v>
      </c>
    </row>
    <row r="30" spans="1:7">
      <c r="A30" s="94">
        <v>1.8</v>
      </c>
      <c r="B30" s="427" t="s">
        <v>106</v>
      </c>
      <c r="C30" s="427"/>
      <c r="D30" s="427"/>
      <c r="E30" s="427"/>
      <c r="F30" s="428"/>
    </row>
    <row r="31" spans="1:7">
      <c r="A31" s="35"/>
      <c r="B31" s="33" t="s">
        <v>107</v>
      </c>
      <c r="C31" s="28" t="s">
        <v>53</v>
      </c>
      <c r="D31" s="29">
        <v>25</v>
      </c>
      <c r="E31" s="38">
        <f>Excavacion!E7</f>
        <v>6720.0417391304345</v>
      </c>
      <c r="F31" s="39">
        <f>D31*E31</f>
        <v>168001.04347826086</v>
      </c>
    </row>
    <row r="32" spans="1:7">
      <c r="A32" s="35"/>
      <c r="B32" s="412" t="s">
        <v>4</v>
      </c>
      <c r="C32" s="412"/>
      <c r="D32" s="30"/>
      <c r="E32" s="38"/>
      <c r="F32" s="40">
        <f>SUM(F31:F31)</f>
        <v>168001.04347826086</v>
      </c>
      <c r="G32" s="135"/>
    </row>
    <row r="33" spans="1:7">
      <c r="A33" s="292">
        <v>1.9</v>
      </c>
      <c r="B33" s="447" t="s">
        <v>217</v>
      </c>
      <c r="C33" s="447"/>
      <c r="D33" s="447"/>
      <c r="E33" s="447"/>
      <c r="F33" s="448"/>
    </row>
    <row r="34" spans="1:7">
      <c r="A34" s="35"/>
      <c r="B34" s="33" t="s">
        <v>218</v>
      </c>
      <c r="C34" s="28" t="s">
        <v>53</v>
      </c>
      <c r="D34" s="29">
        <v>52</v>
      </c>
      <c r="E34" s="38">
        <f>Cercado!D16</f>
        <v>7280</v>
      </c>
      <c r="F34" s="39">
        <f>D34*E34</f>
        <v>378560</v>
      </c>
    </row>
    <row r="35" spans="1:7">
      <c r="A35" s="35"/>
      <c r="B35" s="33" t="s">
        <v>219</v>
      </c>
      <c r="C35" s="28" t="s">
        <v>7</v>
      </c>
      <c r="D35" s="29">
        <f>D34</f>
        <v>52</v>
      </c>
      <c r="E35" s="38">
        <f>Cercado!D17</f>
        <v>3348.8207999999995</v>
      </c>
      <c r="F35" s="39">
        <f>D35*E35</f>
        <v>174138.68159999998</v>
      </c>
    </row>
    <row r="36" spans="1:7">
      <c r="A36" s="35"/>
      <c r="B36" s="33" t="s">
        <v>231</v>
      </c>
      <c r="C36" s="28" t="s">
        <v>7</v>
      </c>
      <c r="D36" s="29">
        <f>D35</f>
        <v>52</v>
      </c>
      <c r="E36" s="38">
        <f>Cercado!D18</f>
        <v>990</v>
      </c>
      <c r="F36" s="39">
        <f>D36*E36</f>
        <v>51480</v>
      </c>
    </row>
    <row r="37" spans="1:7">
      <c r="A37" s="35"/>
      <c r="B37" s="412" t="s">
        <v>4</v>
      </c>
      <c r="C37" s="412"/>
      <c r="D37" s="30"/>
      <c r="E37" s="38"/>
      <c r="F37" s="40">
        <f>SUM(F34:F36)</f>
        <v>604178.68160000001</v>
      </c>
      <c r="G37" s="310"/>
    </row>
    <row r="38" spans="1:7" ht="15.75" thickBot="1">
      <c r="A38" s="47"/>
      <c r="B38" s="426" t="s">
        <v>40</v>
      </c>
      <c r="C38" s="426"/>
      <c r="D38" s="426"/>
      <c r="E38" s="426"/>
      <c r="F38" s="48">
        <f>F6+F10+F14+F18+F22+F26+F29+F32+F37</f>
        <v>19621264.410778053</v>
      </c>
      <c r="G38" s="135"/>
    </row>
    <row r="40" spans="1:7" ht="18.75" hidden="1" thickBot="1">
      <c r="A40" s="441" t="s">
        <v>115</v>
      </c>
      <c r="B40" s="442"/>
      <c r="C40" s="442"/>
      <c r="D40" s="227"/>
      <c r="E40" s="227"/>
      <c r="F40" s="95"/>
    </row>
    <row r="41" spans="1:7" hidden="1">
      <c r="A41" s="46"/>
      <c r="B41" s="429" t="s">
        <v>0</v>
      </c>
      <c r="C41" s="420" t="s">
        <v>1</v>
      </c>
      <c r="D41" s="420" t="s">
        <v>2</v>
      </c>
      <c r="E41" s="420" t="s">
        <v>3</v>
      </c>
      <c r="F41" s="431" t="s">
        <v>32</v>
      </c>
    </row>
    <row r="42" spans="1:7" hidden="1">
      <c r="A42" s="34"/>
      <c r="B42" s="430"/>
      <c r="C42" s="421"/>
      <c r="D42" s="421"/>
      <c r="E42" s="421"/>
      <c r="F42" s="432"/>
    </row>
    <row r="43" spans="1:7" hidden="1">
      <c r="A43" s="86">
        <v>1</v>
      </c>
      <c r="B43" s="422" t="s">
        <v>41</v>
      </c>
      <c r="C43" s="422"/>
      <c r="D43" s="422"/>
      <c r="E43" s="422"/>
      <c r="F43" s="423"/>
    </row>
    <row r="44" spans="1:7" hidden="1">
      <c r="A44" s="88">
        <v>1.1000000000000001</v>
      </c>
      <c r="B44" s="435" t="s">
        <v>56</v>
      </c>
      <c r="C44" s="435"/>
      <c r="D44" s="435"/>
      <c r="E44" s="435"/>
      <c r="F44" s="436"/>
    </row>
    <row r="45" spans="1:7" hidden="1">
      <c r="A45" s="35"/>
      <c r="B45" s="33" t="s">
        <v>42</v>
      </c>
      <c r="C45" s="28" t="s">
        <v>7</v>
      </c>
      <c r="D45" s="29">
        <v>0</v>
      </c>
      <c r="E45" s="38">
        <f>E5</f>
        <v>3733.3565217391306</v>
      </c>
      <c r="F45" s="39">
        <f>D45*E45</f>
        <v>0</v>
      </c>
    </row>
    <row r="46" spans="1:7" hidden="1">
      <c r="A46" s="35"/>
      <c r="B46" s="412" t="s">
        <v>4</v>
      </c>
      <c r="C46" s="412"/>
      <c r="D46" s="30"/>
      <c r="E46" s="234">
        <f>SUM(E45)</f>
        <v>3733.3565217391306</v>
      </c>
      <c r="F46" s="40">
        <f>SUM(F45:F45)</f>
        <v>0</v>
      </c>
      <c r="G46" s="136">
        <f>F6+F46</f>
        <v>112000.69565217392</v>
      </c>
    </row>
    <row r="47" spans="1:7" hidden="1">
      <c r="A47" s="89">
        <v>1.2</v>
      </c>
      <c r="B47" s="439" t="s">
        <v>111</v>
      </c>
      <c r="C47" s="439"/>
      <c r="D47" s="439"/>
      <c r="E47" s="439"/>
      <c r="F47" s="440"/>
    </row>
    <row r="48" spans="1:7" hidden="1">
      <c r="A48" s="35"/>
      <c r="B48" s="33" t="s">
        <v>33</v>
      </c>
      <c r="C48" s="28" t="s">
        <v>66</v>
      </c>
      <c r="D48" s="29">
        <v>0</v>
      </c>
      <c r="E48" s="38">
        <f>E8</f>
        <v>18666.782608695652</v>
      </c>
      <c r="F48" s="39">
        <f>D48*E48</f>
        <v>0</v>
      </c>
    </row>
    <row r="49" spans="1:7" hidden="1">
      <c r="A49" s="35"/>
      <c r="B49" s="33" t="s">
        <v>34</v>
      </c>
      <c r="C49" s="28" t="s">
        <v>7</v>
      </c>
      <c r="D49" s="29">
        <f>D48</f>
        <v>0</v>
      </c>
      <c r="E49" s="38">
        <f>E9</f>
        <v>48428.055826086951</v>
      </c>
      <c r="F49" s="39">
        <f>D49*E49</f>
        <v>0</v>
      </c>
    </row>
    <row r="50" spans="1:7" hidden="1">
      <c r="A50" s="35"/>
      <c r="B50" s="412" t="s">
        <v>4</v>
      </c>
      <c r="C50" s="412"/>
      <c r="D50" s="30"/>
      <c r="E50" s="234">
        <f>SUM(E48:E49)</f>
        <v>67094.838434782607</v>
      </c>
      <c r="F50" s="40">
        <f>SUM(F48:F49)</f>
        <v>0</v>
      </c>
      <c r="G50" s="136">
        <f>F10+F50</f>
        <v>1006422.5765217391</v>
      </c>
    </row>
    <row r="51" spans="1:7" hidden="1">
      <c r="A51" s="92">
        <v>1.3</v>
      </c>
      <c r="B51" s="422" t="s">
        <v>112</v>
      </c>
      <c r="C51" s="422"/>
      <c r="D51" s="422"/>
      <c r="E51" s="422"/>
      <c r="F51" s="423"/>
    </row>
    <row r="52" spans="1:7" hidden="1">
      <c r="A52" s="35"/>
      <c r="B52" s="33" t="s">
        <v>33</v>
      </c>
      <c r="C52" s="28" t="s">
        <v>7</v>
      </c>
      <c r="D52" s="29">
        <v>0</v>
      </c>
      <c r="E52" s="38">
        <f>E12</f>
        <v>4704.0292173913049</v>
      </c>
      <c r="F52" s="39">
        <f>D52*E52</f>
        <v>0</v>
      </c>
    </row>
    <row r="53" spans="1:7" hidden="1">
      <c r="A53" s="35"/>
      <c r="B53" s="33" t="s">
        <v>34</v>
      </c>
      <c r="C53" s="28" t="s">
        <v>7</v>
      </c>
      <c r="D53" s="29">
        <f>D52</f>
        <v>0</v>
      </c>
      <c r="E53" s="38">
        <f>E13</f>
        <v>35561.368869565216</v>
      </c>
      <c r="F53" s="39">
        <f>D53*E53</f>
        <v>0</v>
      </c>
    </row>
    <row r="54" spans="1:7" hidden="1">
      <c r="A54" s="35"/>
      <c r="B54" s="412" t="s">
        <v>4</v>
      </c>
      <c r="C54" s="412"/>
      <c r="D54" s="30"/>
      <c r="E54" s="234">
        <f>SUM(E52:E53)</f>
        <v>40265.39808695652</v>
      </c>
      <c r="F54" s="40">
        <f>SUM(F52:F53)</f>
        <v>0</v>
      </c>
      <c r="G54" s="136">
        <f>F14+F54</f>
        <v>2684359.8724637683</v>
      </c>
    </row>
    <row r="55" spans="1:7" hidden="1">
      <c r="A55" s="126">
        <v>1.4</v>
      </c>
      <c r="B55" s="416" t="s">
        <v>113</v>
      </c>
      <c r="C55" s="416"/>
      <c r="D55" s="416"/>
      <c r="E55" s="416"/>
      <c r="F55" s="417"/>
    </row>
    <row r="56" spans="1:7" hidden="1">
      <c r="A56" s="35"/>
      <c r="B56" s="33" t="s">
        <v>35</v>
      </c>
      <c r="C56" s="28" t="s">
        <v>7</v>
      </c>
      <c r="D56" s="29">
        <v>0</v>
      </c>
      <c r="E56" s="38">
        <f>E16</f>
        <v>19320.12</v>
      </c>
      <c r="F56" s="39">
        <f>D56*E56</f>
        <v>0</v>
      </c>
      <c r="G56" s="135"/>
    </row>
    <row r="57" spans="1:7" hidden="1">
      <c r="A57" s="35"/>
      <c r="B57" s="33" t="s">
        <v>36</v>
      </c>
      <c r="C57" s="28" t="s">
        <v>7</v>
      </c>
      <c r="D57" s="29">
        <f>D56</f>
        <v>0</v>
      </c>
      <c r="E57" s="38">
        <f>E17</f>
        <v>50190.609630434774</v>
      </c>
      <c r="F57" s="39">
        <f>D57*E57</f>
        <v>0</v>
      </c>
    </row>
    <row r="58" spans="1:7" hidden="1">
      <c r="A58" s="35"/>
      <c r="B58" s="412" t="s">
        <v>4</v>
      </c>
      <c r="C58" s="412"/>
      <c r="D58" s="30"/>
      <c r="E58" s="234">
        <f>SUM(E56:E57)</f>
        <v>69510.729630434769</v>
      </c>
      <c r="F58" s="40">
        <f>SUM(F56:F57)</f>
        <v>0</v>
      </c>
      <c r="G58" s="136">
        <f>F18+F58</f>
        <v>1529236.0518695649</v>
      </c>
    </row>
    <row r="59" spans="1:7" hidden="1">
      <c r="A59" s="93">
        <v>1.5</v>
      </c>
      <c r="B59" s="443" t="s">
        <v>114</v>
      </c>
      <c r="C59" s="443"/>
      <c r="D59" s="443"/>
      <c r="E59" s="443"/>
      <c r="F59" s="444"/>
    </row>
    <row r="60" spans="1:7" hidden="1">
      <c r="A60" s="35"/>
      <c r="B60" s="33" t="s">
        <v>35</v>
      </c>
      <c r="C60" s="28" t="s">
        <v>7</v>
      </c>
      <c r="D60" s="29">
        <v>0</v>
      </c>
      <c r="E60" s="38">
        <f>E20</f>
        <v>4032.0250434782611</v>
      </c>
      <c r="F60" s="39">
        <f>D60*E60</f>
        <v>0</v>
      </c>
    </row>
    <row r="61" spans="1:7" hidden="1">
      <c r="A61" s="35"/>
      <c r="B61" s="33" t="s">
        <v>36</v>
      </c>
      <c r="C61" s="28" t="s">
        <v>7</v>
      </c>
      <c r="D61" s="29">
        <f>D60</f>
        <v>0</v>
      </c>
      <c r="E61" s="38">
        <f>E21</f>
        <v>22972.486260869566</v>
      </c>
      <c r="F61" s="39">
        <f>D61*E61</f>
        <v>0</v>
      </c>
    </row>
    <row r="62" spans="1:7" hidden="1">
      <c r="A62" s="35"/>
      <c r="B62" s="412" t="s">
        <v>4</v>
      </c>
      <c r="C62" s="412"/>
      <c r="D62" s="30"/>
      <c r="E62" s="234">
        <f>SUM(E60:E61)</f>
        <v>27004.511304347827</v>
      </c>
      <c r="F62" s="40">
        <f>SUM(F60:F61)</f>
        <v>0</v>
      </c>
      <c r="G62" s="136">
        <f>F22+F62</f>
        <v>486081.2034782609</v>
      </c>
    </row>
    <row r="63" spans="1:7" hidden="1">
      <c r="A63" s="91">
        <v>1.6</v>
      </c>
      <c r="B63" s="437" t="s">
        <v>37</v>
      </c>
      <c r="C63" s="437"/>
      <c r="D63" s="437"/>
      <c r="E63" s="437"/>
      <c r="F63" s="438"/>
    </row>
    <row r="64" spans="1:7" hidden="1">
      <c r="A64" s="35"/>
      <c r="B64" s="33" t="s">
        <v>38</v>
      </c>
      <c r="C64" s="28" t="s">
        <v>7</v>
      </c>
      <c r="D64" s="29">
        <v>0</v>
      </c>
      <c r="E64" s="38">
        <f>E24</f>
        <v>4480.0278260869563</v>
      </c>
      <c r="F64" s="39">
        <f>D64*E64</f>
        <v>0</v>
      </c>
      <c r="G64" s="135"/>
    </row>
    <row r="65" spans="1:8" hidden="1">
      <c r="A65" s="35"/>
      <c r="B65" s="33" t="s">
        <v>39</v>
      </c>
      <c r="C65" s="28" t="s">
        <v>7</v>
      </c>
      <c r="D65" s="29">
        <f>D64</f>
        <v>0</v>
      </c>
      <c r="E65" s="38">
        <f>E25</f>
        <v>44518.569490683229</v>
      </c>
      <c r="F65" s="39">
        <f>D65*E65</f>
        <v>0</v>
      </c>
    </row>
    <row r="66" spans="1:8" hidden="1">
      <c r="A66" s="35"/>
      <c r="B66" s="412" t="s">
        <v>4</v>
      </c>
      <c r="C66" s="412"/>
      <c r="D66" s="30"/>
      <c r="E66" s="234">
        <f>SUM(E64:E65)</f>
        <v>48998.597316770189</v>
      </c>
      <c r="F66" s="40">
        <f>SUM(F64:F65)</f>
        <v>0</v>
      </c>
      <c r="G66" s="136">
        <f>F26+F66</f>
        <v>12249649.329192545</v>
      </c>
    </row>
    <row r="67" spans="1:8" hidden="1">
      <c r="A67" s="90">
        <v>1.8</v>
      </c>
      <c r="B67" s="452" t="s">
        <v>44</v>
      </c>
      <c r="C67" s="452"/>
      <c r="D67" s="452"/>
      <c r="E67" s="452"/>
      <c r="F67" s="453"/>
    </row>
    <row r="68" spans="1:8" ht="28.5" hidden="1">
      <c r="A68" s="35"/>
      <c r="B68" s="33" t="s">
        <v>63</v>
      </c>
      <c r="C68" s="28" t="s">
        <v>45</v>
      </c>
      <c r="D68" s="29">
        <v>0</v>
      </c>
      <c r="E68" s="38">
        <f>E28</f>
        <v>3906.6747826086958</v>
      </c>
      <c r="F68" s="39">
        <f>D68*E68</f>
        <v>0</v>
      </c>
    </row>
    <row r="69" spans="1:8" hidden="1">
      <c r="A69" s="35"/>
      <c r="B69" s="412" t="s">
        <v>4</v>
      </c>
      <c r="C69" s="412"/>
      <c r="D69" s="30"/>
      <c r="E69" s="38">
        <f>SUM(E68)</f>
        <v>3906.6747826086958</v>
      </c>
      <c r="F69" s="40">
        <f>SUM(F68:F68)</f>
        <v>0</v>
      </c>
      <c r="G69" s="136">
        <f>F29+F69</f>
        <v>781334.95652173914</v>
      </c>
    </row>
    <row r="70" spans="1:8" hidden="1">
      <c r="A70" s="94">
        <v>1.9</v>
      </c>
      <c r="B70" s="427" t="s">
        <v>106</v>
      </c>
      <c r="C70" s="427"/>
      <c r="D70" s="427"/>
      <c r="E70" s="427"/>
      <c r="F70" s="428"/>
    </row>
    <row r="71" spans="1:8" hidden="1">
      <c r="A71" s="35"/>
      <c r="B71" s="33" t="s">
        <v>107</v>
      </c>
      <c r="C71" s="28" t="s">
        <v>53</v>
      </c>
      <c r="D71" s="29">
        <v>0</v>
      </c>
      <c r="E71" s="38">
        <f>E31</f>
        <v>6720.0417391304345</v>
      </c>
      <c r="F71" s="39">
        <f>D71*E71</f>
        <v>0</v>
      </c>
    </row>
    <row r="72" spans="1:8" hidden="1">
      <c r="A72" s="35"/>
      <c r="B72" s="412" t="s">
        <v>4</v>
      </c>
      <c r="C72" s="412"/>
      <c r="D72" s="30"/>
      <c r="E72" s="238">
        <f>SUM(E71)</f>
        <v>6720.0417391304345</v>
      </c>
      <c r="F72" s="40">
        <f>SUM(F71:F71)</f>
        <v>0</v>
      </c>
      <c r="G72" s="136">
        <f>F72+F32</f>
        <v>168001.04347826086</v>
      </c>
    </row>
    <row r="73" spans="1:8" ht="15.75" hidden="1" thickBot="1">
      <c r="A73" s="47"/>
      <c r="B73" s="426" t="s">
        <v>40</v>
      </c>
      <c r="C73" s="426"/>
      <c r="D73" s="426"/>
      <c r="E73" s="426"/>
      <c r="F73" s="48">
        <f>F72+F69+F66+F62+F58+F54+F50+F46</f>
        <v>0</v>
      </c>
    </row>
    <row r="75" spans="1:8" ht="15.75" thickBot="1"/>
    <row r="76" spans="1:8" ht="18.75" thickBot="1">
      <c r="A76" s="418" t="s">
        <v>262</v>
      </c>
      <c r="B76" s="419"/>
      <c r="C76" s="419"/>
      <c r="D76" s="419"/>
      <c r="E76" s="419"/>
      <c r="F76" s="419"/>
    </row>
    <row r="77" spans="1:8" ht="15.75">
      <c r="A77" s="51"/>
      <c r="B77" s="55" t="s">
        <v>260</v>
      </c>
      <c r="C77" s="54" t="s">
        <v>1</v>
      </c>
      <c r="D77" s="228" t="s">
        <v>177</v>
      </c>
      <c r="E77" s="228" t="s">
        <v>178</v>
      </c>
      <c r="F77" s="231" t="s">
        <v>4</v>
      </c>
    </row>
    <row r="78" spans="1:8" ht="15.75">
      <c r="A78" s="71">
        <v>1</v>
      </c>
      <c r="B78" s="52" t="str">
        <f>D1</f>
        <v>OBRAS VDA CAMPAMENTO</v>
      </c>
      <c r="C78" s="53" t="s">
        <v>68</v>
      </c>
      <c r="D78" s="229">
        <v>1</v>
      </c>
      <c r="E78" s="233">
        <f>F38</f>
        <v>19621264.410778053</v>
      </c>
      <c r="F78" s="232">
        <f>D78*E78</f>
        <v>19621264.410778053</v>
      </c>
      <c r="G78" s="312">
        <f>F78-G38</f>
        <v>19621264.410778053</v>
      </c>
    </row>
    <row r="79" spans="1:8" ht="15.75">
      <c r="A79" s="71" t="s">
        <v>86</v>
      </c>
      <c r="B79" s="52" t="s">
        <v>259</v>
      </c>
      <c r="C79" s="53" t="s">
        <v>133</v>
      </c>
      <c r="D79" s="229">
        <v>1.5</v>
      </c>
      <c r="E79" s="233">
        <f>APU!C17</f>
        <v>2363308</v>
      </c>
      <c r="F79" s="232">
        <f>D79*E79</f>
        <v>3544962</v>
      </c>
      <c r="G79" s="310"/>
      <c r="H79" s="239"/>
    </row>
    <row r="80" spans="1:8" ht="15.75">
      <c r="A80" s="71" t="s">
        <v>86</v>
      </c>
      <c r="B80" s="52" t="s">
        <v>310</v>
      </c>
      <c r="C80" s="53" t="s">
        <v>133</v>
      </c>
      <c r="D80" s="229">
        <v>0.3</v>
      </c>
      <c r="E80" s="233">
        <f>APU!C18</f>
        <v>9160000</v>
      </c>
      <c r="F80" s="232">
        <f>D80*E80</f>
        <v>2748000</v>
      </c>
      <c r="G80" s="310"/>
      <c r="H80" s="299"/>
    </row>
    <row r="81" spans="1:8" ht="15.75">
      <c r="A81" s="291"/>
      <c r="B81" s="286"/>
      <c r="C81" s="287"/>
      <c r="D81" s="288"/>
      <c r="E81" s="289"/>
      <c r="F81" s="290"/>
    </row>
    <row r="82" spans="1:8" ht="16.5" thickBot="1">
      <c r="A82" s="72"/>
      <c r="B82" s="73" t="s">
        <v>67</v>
      </c>
      <c r="C82" s="74"/>
      <c r="D82" s="230"/>
      <c r="E82" s="297"/>
      <c r="F82" s="298">
        <f>SUM(F78:F80)</f>
        <v>25914226.410778053</v>
      </c>
      <c r="G82" s="136"/>
      <c r="H82">
        <f>51+70</f>
        <v>121</v>
      </c>
    </row>
    <row r="83" spans="1:8" ht="15.75">
      <c r="C83" s="256"/>
    </row>
    <row r="84" spans="1:8" ht="15.75" thickBot="1"/>
    <row r="85" spans="1:8" ht="18.75" thickBot="1">
      <c r="A85" s="413" t="s">
        <v>75</v>
      </c>
      <c r="B85" s="414"/>
      <c r="C85" s="414"/>
      <c r="D85" s="414"/>
      <c r="E85" s="414"/>
      <c r="F85" s="415"/>
    </row>
    <row r="86" spans="1:8">
      <c r="A86" s="46"/>
      <c r="B86" s="429" t="s">
        <v>0</v>
      </c>
      <c r="C86" s="420" t="s">
        <v>1</v>
      </c>
      <c r="D86" s="420" t="s">
        <v>2</v>
      </c>
      <c r="E86" s="420" t="s">
        <v>3</v>
      </c>
      <c r="F86" s="431" t="s">
        <v>32</v>
      </c>
    </row>
    <row r="87" spans="1:8">
      <c r="A87" s="34"/>
      <c r="B87" s="430"/>
      <c r="C87" s="421"/>
      <c r="D87" s="421"/>
      <c r="E87" s="421"/>
      <c r="F87" s="432"/>
    </row>
    <row r="88" spans="1:8">
      <c r="A88" s="86">
        <v>1</v>
      </c>
      <c r="B88" s="422" t="s">
        <v>41</v>
      </c>
      <c r="C88" s="422"/>
      <c r="D88" s="422"/>
      <c r="E88" s="422"/>
      <c r="F88" s="423"/>
    </row>
    <row r="89" spans="1:8">
      <c r="A89" s="88">
        <v>1.1000000000000001</v>
      </c>
      <c r="B89" s="96" t="s">
        <v>56</v>
      </c>
      <c r="C89" s="97"/>
      <c r="D89" s="133">
        <f>D45+D5</f>
        <v>30</v>
      </c>
      <c r="E89" s="433"/>
      <c r="F89" s="434"/>
    </row>
    <row r="90" spans="1:8">
      <c r="A90" s="35"/>
      <c r="B90" s="33" t="s">
        <v>69</v>
      </c>
      <c r="C90" s="28" t="s">
        <v>66</v>
      </c>
      <c r="D90" s="66">
        <f>((D89)*E5)/APU!C16</f>
        <v>2</v>
      </c>
      <c r="E90" s="38">
        <f>APU!C16</f>
        <v>56000.34782608696</v>
      </c>
      <c r="F90" s="39">
        <f>D90*E90</f>
        <v>112000.69565217392</v>
      </c>
    </row>
    <row r="91" spans="1:8">
      <c r="A91" s="35"/>
      <c r="B91" s="412" t="s">
        <v>4</v>
      </c>
      <c r="C91" s="412"/>
      <c r="D91" s="67"/>
      <c r="E91" s="31"/>
      <c r="F91" s="40">
        <f>SUM(F90)</f>
        <v>112000.69565217392</v>
      </c>
      <c r="G91" s="136">
        <f>G46-F91</f>
        <v>0</v>
      </c>
    </row>
    <row r="92" spans="1:8">
      <c r="A92" s="89">
        <v>1.2</v>
      </c>
      <c r="B92" s="98" t="s">
        <v>111</v>
      </c>
      <c r="C92" s="99"/>
      <c r="D92" s="100">
        <f>D8+D48</f>
        <v>15</v>
      </c>
      <c r="E92" s="99"/>
      <c r="F92" s="101"/>
      <c r="G92" s="136"/>
    </row>
    <row r="93" spans="1:8">
      <c r="A93" s="35"/>
      <c r="B93" s="33" t="s">
        <v>76</v>
      </c>
      <c r="C93" s="28" t="s">
        <v>66</v>
      </c>
      <c r="D93" s="66">
        <f>((Excavacion!E16+'Conformacion de obras'!J4)*D92)/APU!C16</f>
        <v>7.4074999999999998</v>
      </c>
      <c r="E93" s="38">
        <f>APU!$C$16</f>
        <v>56000.34782608696</v>
      </c>
      <c r="F93" s="39">
        <f t="shared" ref="F93:F98" si="0">D93*E93</f>
        <v>414822.57652173913</v>
      </c>
    </row>
    <row r="94" spans="1:8">
      <c r="A94" s="35"/>
      <c r="B94" s="33" t="s">
        <v>174</v>
      </c>
      <c r="C94" s="28" t="s">
        <v>7</v>
      </c>
      <c r="D94" s="66">
        <v>0</v>
      </c>
      <c r="E94" s="38">
        <f>APU!$C$3</f>
        <v>1800</v>
      </c>
      <c r="F94" s="39">
        <f t="shared" si="0"/>
        <v>0</v>
      </c>
    </row>
    <row r="95" spans="1:8">
      <c r="A95" s="35"/>
      <c r="B95" s="33" t="s">
        <v>175</v>
      </c>
      <c r="C95" s="28" t="s">
        <v>7</v>
      </c>
      <c r="D95" s="66">
        <f>D92*'Conformacion de obras'!J6</f>
        <v>240</v>
      </c>
      <c r="E95" s="38">
        <f>APU!$C$3</f>
        <v>1800</v>
      </c>
      <c r="F95" s="39">
        <f t="shared" si="0"/>
        <v>432000</v>
      </c>
    </row>
    <row r="96" spans="1:8">
      <c r="A96" s="35"/>
      <c r="B96" s="33" t="s">
        <v>71</v>
      </c>
      <c r="C96" s="28" t="s">
        <v>5</v>
      </c>
      <c r="D96" s="66">
        <f>D92*2</f>
        <v>30</v>
      </c>
      <c r="E96" s="38">
        <f>APU!$C$6</f>
        <v>400</v>
      </c>
      <c r="F96" s="39">
        <f t="shared" si="0"/>
        <v>12000</v>
      </c>
    </row>
    <row r="97" spans="1:8">
      <c r="A97" s="35"/>
      <c r="B97" s="33" t="s">
        <v>87</v>
      </c>
      <c r="C97" s="28" t="s">
        <v>47</v>
      </c>
      <c r="D97" s="66">
        <f>D92*0.15*4</f>
        <v>9</v>
      </c>
      <c r="E97" s="38">
        <f>APU!$C$4</f>
        <v>400</v>
      </c>
      <c r="F97" s="39">
        <f t="shared" si="0"/>
        <v>3600</v>
      </c>
    </row>
    <row r="98" spans="1:8">
      <c r="A98" s="35"/>
      <c r="B98" s="33" t="s">
        <v>70</v>
      </c>
      <c r="C98" s="28" t="s">
        <v>7</v>
      </c>
      <c r="D98" s="66">
        <f>(D94+D95)/'Conformacion de obras'!$C$4</f>
        <v>0.16</v>
      </c>
      <c r="E98" s="38">
        <f>APU!$C$15</f>
        <v>900000</v>
      </c>
      <c r="F98" s="39">
        <f t="shared" si="0"/>
        <v>144000</v>
      </c>
    </row>
    <row r="99" spans="1:8">
      <c r="A99" s="35"/>
      <c r="B99" s="49"/>
      <c r="C99" s="50"/>
      <c r="D99" s="67"/>
      <c r="E99" s="31"/>
      <c r="F99" s="40">
        <f>SUM(F93:F98)</f>
        <v>1006422.5765217391</v>
      </c>
      <c r="G99" s="136">
        <f>G50-F99</f>
        <v>0</v>
      </c>
      <c r="H99" s="239">
        <f>G99/D92</f>
        <v>0</v>
      </c>
    </row>
    <row r="100" spans="1:8">
      <c r="A100" s="92">
        <v>1.3</v>
      </c>
      <c r="B100" s="102" t="s">
        <v>112</v>
      </c>
      <c r="C100" s="103"/>
      <c r="D100" s="104">
        <f>D12+D52</f>
        <v>66.666666666666671</v>
      </c>
      <c r="E100" s="103"/>
      <c r="F100" s="105"/>
    </row>
    <row r="101" spans="1:8">
      <c r="A101" s="35"/>
      <c r="B101" s="33" t="s">
        <v>76</v>
      </c>
      <c r="C101" s="28" t="s">
        <v>66</v>
      </c>
      <c r="D101" s="66">
        <f>((Excavacion!E24+'Conformacion de obras'!J17)*D100)/APU!C16</f>
        <v>12.411111111111113</v>
      </c>
      <c r="E101" s="38">
        <f>APU!$C$16</f>
        <v>56000.34782608696</v>
      </c>
      <c r="F101" s="39">
        <f t="shared" ref="F101:F106" si="1">D101*E101</f>
        <v>695026.53913043498</v>
      </c>
    </row>
    <row r="102" spans="1:8">
      <c r="A102" s="35"/>
      <c r="B102" s="33" t="s">
        <v>174</v>
      </c>
      <c r="C102" s="28" t="s">
        <v>7</v>
      </c>
      <c r="D102" s="66">
        <v>0</v>
      </c>
      <c r="E102" s="38">
        <f>APU!$C$3</f>
        <v>1800</v>
      </c>
      <c r="F102" s="39">
        <f t="shared" si="1"/>
        <v>0</v>
      </c>
      <c r="H102" s="239">
        <f>G107/D100</f>
        <v>0</v>
      </c>
    </row>
    <row r="103" spans="1:8">
      <c r="A103" s="35"/>
      <c r="B103" s="33" t="s">
        <v>175</v>
      </c>
      <c r="C103" s="28" t="s">
        <v>7</v>
      </c>
      <c r="D103" s="66">
        <f>D100*'Conformacion de obras'!J19</f>
        <v>800</v>
      </c>
      <c r="E103" s="38">
        <f>APU!$C$3</f>
        <v>1800</v>
      </c>
      <c r="F103" s="39">
        <f t="shared" si="1"/>
        <v>1440000</v>
      </c>
    </row>
    <row r="104" spans="1:8">
      <c r="A104" s="35"/>
      <c r="B104" s="33" t="s">
        <v>71</v>
      </c>
      <c r="C104" s="28" t="s">
        <v>5</v>
      </c>
      <c r="D104" s="66">
        <f>D100*2</f>
        <v>133.33333333333334</v>
      </c>
      <c r="E104" s="38">
        <f>APU!$C$6</f>
        <v>400</v>
      </c>
      <c r="F104" s="39">
        <f t="shared" si="1"/>
        <v>53333.333333333336</v>
      </c>
    </row>
    <row r="105" spans="1:8">
      <c r="A105" s="35"/>
      <c r="B105" s="33" t="s">
        <v>87</v>
      </c>
      <c r="C105" s="28" t="s">
        <v>47</v>
      </c>
      <c r="D105" s="66">
        <f>D100*0.15*4</f>
        <v>40</v>
      </c>
      <c r="E105" s="38">
        <f>APU!$C$4</f>
        <v>400</v>
      </c>
      <c r="F105" s="39">
        <f t="shared" si="1"/>
        <v>16000</v>
      </c>
    </row>
    <row r="106" spans="1:8">
      <c r="A106" s="35"/>
      <c r="B106" s="33" t="s">
        <v>70</v>
      </c>
      <c r="C106" s="28" t="s">
        <v>7</v>
      </c>
      <c r="D106" s="66">
        <f>(D102+D103)/'Conformacion de obras'!$C$4</f>
        <v>0.53333333333333333</v>
      </c>
      <c r="E106" s="38">
        <f>APU!$C$15</f>
        <v>900000</v>
      </c>
      <c r="F106" s="39">
        <f t="shared" si="1"/>
        <v>480000</v>
      </c>
    </row>
    <row r="107" spans="1:8">
      <c r="A107" s="35"/>
      <c r="B107" s="49"/>
      <c r="C107" s="50"/>
      <c r="D107" s="67"/>
      <c r="E107" s="31"/>
      <c r="F107" s="40">
        <f>SUM(F101:F106)</f>
        <v>2684359.8724637683</v>
      </c>
      <c r="G107" s="136">
        <f>G54-F107</f>
        <v>0</v>
      </c>
    </row>
    <row r="108" spans="1:8">
      <c r="A108" s="87">
        <v>1.4</v>
      </c>
      <c r="B108" s="106" t="s">
        <v>113</v>
      </c>
      <c r="C108" s="107"/>
      <c r="D108" s="108">
        <f>D56+D16</f>
        <v>22</v>
      </c>
      <c r="E108" s="107"/>
      <c r="F108" s="109"/>
    </row>
    <row r="109" spans="1:8">
      <c r="A109" s="35"/>
      <c r="B109" s="33" t="s">
        <v>76</v>
      </c>
      <c r="C109" s="28" t="s">
        <v>66</v>
      </c>
      <c r="D109" s="66">
        <f>((Excavacion!E32+'Conformacion de obras'!J30)*D108)/APU!C16</f>
        <v>14.524125</v>
      </c>
      <c r="E109" s="38">
        <f>APU!$C$16</f>
        <v>56000.34782608696</v>
      </c>
      <c r="F109" s="39">
        <f t="shared" ref="F109:F114" si="2">D109*E109</f>
        <v>813356.05186956527</v>
      </c>
    </row>
    <row r="110" spans="1:8">
      <c r="A110" s="35"/>
      <c r="B110" s="33" t="s">
        <v>174</v>
      </c>
      <c r="C110" s="28" t="s">
        <v>7</v>
      </c>
      <c r="D110" s="66">
        <f>D108*'Conformacion de obras'!J31</f>
        <v>68.75</v>
      </c>
      <c r="E110" s="38">
        <f>APU!$C$3</f>
        <v>1800</v>
      </c>
      <c r="F110" s="39">
        <f t="shared" si="2"/>
        <v>123750</v>
      </c>
    </row>
    <row r="111" spans="1:8">
      <c r="A111" s="35"/>
      <c r="B111" s="33" t="s">
        <v>175</v>
      </c>
      <c r="C111" s="28" t="s">
        <v>7</v>
      </c>
      <c r="D111" s="66">
        <f>D108*'Conformacion de obras'!J32</f>
        <v>220</v>
      </c>
      <c r="E111" s="38">
        <f>APU!$C$3</f>
        <v>1800</v>
      </c>
      <c r="F111" s="39">
        <f t="shared" si="2"/>
        <v>396000</v>
      </c>
    </row>
    <row r="112" spans="1:8">
      <c r="A112" s="35"/>
      <c r="B112" s="33" t="s">
        <v>71</v>
      </c>
      <c r="C112" s="28" t="s">
        <v>5</v>
      </c>
      <c r="D112" s="66">
        <f>D108*2</f>
        <v>44</v>
      </c>
      <c r="E112" s="38">
        <f>APU!$C$6</f>
        <v>400</v>
      </c>
      <c r="F112" s="39">
        <f t="shared" si="2"/>
        <v>17600</v>
      </c>
    </row>
    <row r="113" spans="1:7">
      <c r="A113" s="35"/>
      <c r="B113" s="33" t="s">
        <v>87</v>
      </c>
      <c r="C113" s="28" t="s">
        <v>47</v>
      </c>
      <c r="D113" s="66">
        <f>D108*0.15*4</f>
        <v>13.2</v>
      </c>
      <c r="E113" s="38">
        <f>APU!$C$4</f>
        <v>400</v>
      </c>
      <c r="F113" s="39">
        <f t="shared" si="2"/>
        <v>5280</v>
      </c>
    </row>
    <row r="114" spans="1:7">
      <c r="A114" s="35"/>
      <c r="B114" s="33" t="s">
        <v>70</v>
      </c>
      <c r="C114" s="28" t="s">
        <v>77</v>
      </c>
      <c r="D114" s="66">
        <f>(D110+D111)/'Conformacion de obras'!$C$4</f>
        <v>0.1925</v>
      </c>
      <c r="E114" s="38">
        <f>APU!$C$15</f>
        <v>900000</v>
      </c>
      <c r="F114" s="39">
        <f t="shared" si="2"/>
        <v>173250</v>
      </c>
    </row>
    <row r="115" spans="1:7">
      <c r="A115" s="35"/>
      <c r="B115" s="49" t="s">
        <v>4</v>
      </c>
      <c r="C115" s="50"/>
      <c r="D115" s="67"/>
      <c r="E115" s="31"/>
      <c r="F115" s="40">
        <f>SUM(F109:F114)</f>
        <v>1529236.0518695652</v>
      </c>
      <c r="G115" s="136">
        <f>F115-G58</f>
        <v>0</v>
      </c>
    </row>
    <row r="116" spans="1:7">
      <c r="A116" s="35"/>
      <c r="B116" s="32"/>
      <c r="C116" s="31"/>
      <c r="D116" s="68"/>
      <c r="E116" s="31"/>
      <c r="F116" s="41"/>
    </row>
    <row r="117" spans="1:7">
      <c r="A117" s="93">
        <v>1.5</v>
      </c>
      <c r="B117" s="110" t="s">
        <v>116</v>
      </c>
      <c r="C117" s="111"/>
      <c r="D117" s="112">
        <f>D60+D20</f>
        <v>18</v>
      </c>
      <c r="E117" s="111"/>
      <c r="F117" s="113"/>
    </row>
    <row r="118" spans="1:7">
      <c r="A118" s="35"/>
      <c r="B118" s="33" t="s">
        <v>76</v>
      </c>
      <c r="C118" s="28" t="s">
        <v>66</v>
      </c>
      <c r="D118" s="66">
        <f>((Excavacion!E40+'Conformacion de obras'!J43)*D117)/APU!C16</f>
        <v>3.4600000000000004</v>
      </c>
      <c r="E118" s="38">
        <f>APU!$C$16</f>
        <v>56000.34782608696</v>
      </c>
      <c r="F118" s="39">
        <f t="shared" ref="F118:F123" si="3">D118*E118</f>
        <v>193761.2034782609</v>
      </c>
    </row>
    <row r="119" spans="1:7">
      <c r="A119" s="35"/>
      <c r="B119" s="33" t="s">
        <v>174</v>
      </c>
      <c r="C119" s="28" t="s">
        <v>7</v>
      </c>
      <c r="D119" s="66">
        <f>D117*'Conformacion de obras'!J44</f>
        <v>24.000000000000004</v>
      </c>
      <c r="E119" s="38">
        <f>APU!$C$3</f>
        <v>1800</v>
      </c>
      <c r="F119" s="39">
        <f t="shared" si="3"/>
        <v>43200.000000000007</v>
      </c>
    </row>
    <row r="120" spans="1:7">
      <c r="A120" s="35"/>
      <c r="B120" s="33" t="s">
        <v>175</v>
      </c>
      <c r="C120" s="28" t="s">
        <v>7</v>
      </c>
      <c r="D120" s="66">
        <f>D117*'Conformacion de obras'!J45</f>
        <v>90</v>
      </c>
      <c r="E120" s="38">
        <f>APU!$C$3</f>
        <v>1800</v>
      </c>
      <c r="F120" s="39">
        <f t="shared" si="3"/>
        <v>162000</v>
      </c>
    </row>
    <row r="121" spans="1:7">
      <c r="A121" s="35"/>
      <c r="B121" s="33" t="s">
        <v>71</v>
      </c>
      <c r="C121" s="28" t="s">
        <v>5</v>
      </c>
      <c r="D121" s="66">
        <f>D117*2</f>
        <v>36</v>
      </c>
      <c r="E121" s="38">
        <f>APU!$C$6</f>
        <v>400</v>
      </c>
      <c r="F121" s="39">
        <f t="shared" si="3"/>
        <v>14400</v>
      </c>
    </row>
    <row r="122" spans="1:7">
      <c r="A122" s="35"/>
      <c r="B122" s="33" t="s">
        <v>87</v>
      </c>
      <c r="C122" s="28" t="s">
        <v>47</v>
      </c>
      <c r="D122" s="66">
        <f>D117*0.15*4</f>
        <v>10.799999999999999</v>
      </c>
      <c r="E122" s="38">
        <f>APU!$C$4</f>
        <v>400</v>
      </c>
      <c r="F122" s="39">
        <f t="shared" si="3"/>
        <v>4320</v>
      </c>
    </row>
    <row r="123" spans="1:7">
      <c r="A123" s="35"/>
      <c r="B123" s="33" t="s">
        <v>70</v>
      </c>
      <c r="C123" s="28" t="s">
        <v>77</v>
      </c>
      <c r="D123" s="66">
        <f>(D119+D120)/'Conformacion de obras'!$C$4</f>
        <v>7.5999999999999998E-2</v>
      </c>
      <c r="E123" s="38">
        <f>APU!$C$15</f>
        <v>900000</v>
      </c>
      <c r="F123" s="39">
        <f t="shared" si="3"/>
        <v>68400</v>
      </c>
    </row>
    <row r="124" spans="1:7">
      <c r="A124" s="35"/>
      <c r="B124" s="49" t="s">
        <v>4</v>
      </c>
      <c r="C124" s="50"/>
      <c r="D124" s="67"/>
      <c r="E124" s="31"/>
      <c r="F124" s="40">
        <f>SUM(F118:F123)</f>
        <v>486081.2034782609</v>
      </c>
      <c r="G124" s="136">
        <f>F124-G62</f>
        <v>0</v>
      </c>
    </row>
    <row r="125" spans="1:7">
      <c r="A125" s="35"/>
      <c r="B125" s="32"/>
      <c r="C125" s="31"/>
      <c r="D125" s="68"/>
      <c r="E125" s="31"/>
      <c r="F125" s="41"/>
    </row>
    <row r="126" spans="1:7">
      <c r="A126" s="91">
        <v>1.6</v>
      </c>
      <c r="B126" s="114" t="s">
        <v>37</v>
      </c>
      <c r="C126" s="115"/>
      <c r="D126" s="116">
        <f>D24+D64</f>
        <v>250</v>
      </c>
      <c r="E126" s="115"/>
      <c r="F126" s="117"/>
    </row>
    <row r="127" spans="1:7">
      <c r="A127" s="35"/>
      <c r="B127" s="33" t="s">
        <v>76</v>
      </c>
      <c r="C127" s="28" t="s">
        <v>66</v>
      </c>
      <c r="D127" s="66">
        <f>((Excavacion!E48+'Conformacion de obras'!J58)*consolidado!D126)/APU!C16</f>
        <v>87.05952380952381</v>
      </c>
      <c r="E127" s="38">
        <f>APU!$C$16</f>
        <v>56000.34782608696</v>
      </c>
      <c r="F127" s="39">
        <f t="shared" ref="F127:F132" si="4">D127*E127</f>
        <v>4875363.6149068326</v>
      </c>
    </row>
    <row r="128" spans="1:7">
      <c r="A128" s="35"/>
      <c r="B128" s="33" t="s">
        <v>174</v>
      </c>
      <c r="C128" s="28" t="s">
        <v>7</v>
      </c>
      <c r="D128" s="66">
        <f>D126*'Conformacion de obras'!J59</f>
        <v>714.28571428571433</v>
      </c>
      <c r="E128" s="38">
        <f>APU!$C$3</f>
        <v>1800</v>
      </c>
      <c r="F128" s="39">
        <f t="shared" si="4"/>
        <v>1285714.2857142859</v>
      </c>
    </row>
    <row r="129" spans="1:7">
      <c r="A129" s="35"/>
      <c r="B129" s="33" t="s">
        <v>175</v>
      </c>
      <c r="C129" s="28" t="s">
        <v>7</v>
      </c>
      <c r="D129" s="66">
        <f>D126*'Conformacion de obras'!J60</f>
        <v>2250</v>
      </c>
      <c r="E129" s="38">
        <f>APU!$C$3</f>
        <v>1800</v>
      </c>
      <c r="F129" s="39">
        <f t="shared" si="4"/>
        <v>4050000</v>
      </c>
    </row>
    <row r="130" spans="1:7">
      <c r="A130" s="35"/>
      <c r="B130" s="33" t="s">
        <v>71</v>
      </c>
      <c r="C130" s="28" t="s">
        <v>5</v>
      </c>
      <c r="D130" s="66">
        <f>D126*2</f>
        <v>500</v>
      </c>
      <c r="E130" s="38">
        <f>APU!$C$6</f>
        <v>400</v>
      </c>
      <c r="F130" s="39">
        <f t="shared" si="4"/>
        <v>200000</v>
      </c>
    </row>
    <row r="131" spans="1:7">
      <c r="A131" s="35"/>
      <c r="B131" s="33" t="s">
        <v>87</v>
      </c>
      <c r="C131" s="28" t="s">
        <v>47</v>
      </c>
      <c r="D131" s="66">
        <f>D126*0.15*4</f>
        <v>150</v>
      </c>
      <c r="E131" s="38">
        <f>APU!$C$4</f>
        <v>400</v>
      </c>
      <c r="F131" s="39">
        <f t="shared" si="4"/>
        <v>60000</v>
      </c>
    </row>
    <row r="132" spans="1:7">
      <c r="A132" s="35"/>
      <c r="B132" s="33" t="s">
        <v>70</v>
      </c>
      <c r="C132" s="28" t="s">
        <v>77</v>
      </c>
      <c r="D132" s="66">
        <f>(D128+D129)/'Conformacion de obras'!$C$4</f>
        <v>1.9761904761904761</v>
      </c>
      <c r="E132" s="38">
        <f>APU!$C$15</f>
        <v>900000</v>
      </c>
      <c r="F132" s="39">
        <f t="shared" si="4"/>
        <v>1778571.4285714284</v>
      </c>
    </row>
    <row r="133" spans="1:7">
      <c r="A133" s="35"/>
      <c r="B133" s="412" t="s">
        <v>4</v>
      </c>
      <c r="C133" s="412"/>
      <c r="D133" s="67"/>
      <c r="E133" s="31"/>
      <c r="F133" s="40">
        <f>SUM(F127:F132)</f>
        <v>12249649.329192547</v>
      </c>
      <c r="G133" s="136">
        <f>F133-G66</f>
        <v>0</v>
      </c>
    </row>
    <row r="134" spans="1:7">
      <c r="A134" s="90">
        <v>1.7</v>
      </c>
      <c r="B134" s="118" t="s">
        <v>44</v>
      </c>
      <c r="C134" s="119"/>
      <c r="D134" s="120">
        <f>D68+D28</f>
        <v>200</v>
      </c>
      <c r="E134" s="119"/>
      <c r="F134" s="121"/>
    </row>
    <row r="135" spans="1:7">
      <c r="A135" s="35"/>
      <c r="B135" s="33" t="s">
        <v>76</v>
      </c>
      <c r="C135" s="28" t="s">
        <v>66</v>
      </c>
      <c r="D135" s="66">
        <f>(D134*((Revegetalizacion!G4+Revegetalizacion!G5)/APU!C16))</f>
        <v>4.666666666666667</v>
      </c>
      <c r="E135" s="38">
        <f>APU!C16</f>
        <v>56000.34782608696</v>
      </c>
      <c r="F135" s="39">
        <f>D135*E135</f>
        <v>261334.95652173916</v>
      </c>
    </row>
    <row r="136" spans="1:7">
      <c r="A136" s="35"/>
      <c r="B136" s="33" t="s">
        <v>280</v>
      </c>
      <c r="C136" s="28" t="s">
        <v>5</v>
      </c>
      <c r="D136" s="66">
        <f>D134</f>
        <v>200</v>
      </c>
      <c r="E136" s="38">
        <f>APU!C5</f>
        <v>2400</v>
      </c>
      <c r="F136" s="39">
        <f>D136*E136</f>
        <v>480000</v>
      </c>
    </row>
    <row r="137" spans="1:7">
      <c r="A137" s="35"/>
      <c r="B137" s="33" t="s">
        <v>87</v>
      </c>
      <c r="C137" s="28" t="s">
        <v>47</v>
      </c>
      <c r="D137" s="66">
        <f>(D134)*0.5</f>
        <v>100</v>
      </c>
      <c r="E137" s="38">
        <f>APU!C4</f>
        <v>400</v>
      </c>
      <c r="F137" s="39">
        <f>D137*E137</f>
        <v>40000</v>
      </c>
    </row>
    <row r="138" spans="1:7">
      <c r="A138" s="35"/>
      <c r="B138" s="412" t="s">
        <v>4</v>
      </c>
      <c r="C138" s="412"/>
      <c r="D138" s="67"/>
      <c r="E138" s="38"/>
      <c r="F138" s="40">
        <f>SUM(F135:F137)</f>
        <v>781334.95652173914</v>
      </c>
      <c r="G138" s="136">
        <f>F138-G69</f>
        <v>0</v>
      </c>
    </row>
    <row r="139" spans="1:7">
      <c r="A139" s="94">
        <v>1.8</v>
      </c>
      <c r="B139" s="122" t="s">
        <v>106</v>
      </c>
      <c r="C139" s="123"/>
      <c r="D139" s="124">
        <f>D71+D31</f>
        <v>25</v>
      </c>
      <c r="E139" s="123"/>
      <c r="F139" s="125"/>
      <c r="G139" s="136"/>
    </row>
    <row r="140" spans="1:7">
      <c r="A140" s="35"/>
      <c r="B140" s="33" t="s">
        <v>76</v>
      </c>
      <c r="C140" s="28" t="s">
        <v>66</v>
      </c>
      <c r="D140" s="66">
        <f>(D139*Excavacion!E7)/APU!C16</f>
        <v>2.9999999999999996</v>
      </c>
      <c r="E140" s="38">
        <f>APU!C16</f>
        <v>56000.34782608696</v>
      </c>
      <c r="F140" s="39">
        <f>D140*E140</f>
        <v>168001.04347826086</v>
      </c>
      <c r="G140" s="136"/>
    </row>
    <row r="141" spans="1:7">
      <c r="A141" s="35"/>
      <c r="B141" s="412" t="s">
        <v>4</v>
      </c>
      <c r="C141" s="412"/>
      <c r="D141" s="67"/>
      <c r="E141" s="38"/>
      <c r="F141" s="40">
        <f>SUM(F140)</f>
        <v>168001.04347826086</v>
      </c>
      <c r="G141" s="136">
        <f>F141-G72</f>
        <v>0</v>
      </c>
    </row>
    <row r="142" spans="1:7">
      <c r="A142" s="267">
        <v>1.9</v>
      </c>
      <c r="B142" s="424" t="s">
        <v>217</v>
      </c>
      <c r="C142" s="424"/>
      <c r="D142" s="424"/>
      <c r="E142" s="424"/>
      <c r="F142" s="425"/>
    </row>
    <row r="143" spans="1:7">
      <c r="A143" s="35"/>
      <c r="B143" s="33" t="s">
        <v>218</v>
      </c>
      <c r="C143" s="28" t="s">
        <v>53</v>
      </c>
      <c r="D143" s="66">
        <f>D34</f>
        <v>52</v>
      </c>
      <c r="E143" s="38">
        <f>E34</f>
        <v>7280</v>
      </c>
      <c r="F143" s="39">
        <f>D143*E143</f>
        <v>378560</v>
      </c>
    </row>
    <row r="144" spans="1:7">
      <c r="A144" s="35"/>
      <c r="B144" s="33" t="s">
        <v>69</v>
      </c>
      <c r="C144" s="28" t="s">
        <v>7</v>
      </c>
      <c r="D144" s="66">
        <f>F35/APU!B52</f>
        <v>3.1095999999999995</v>
      </c>
      <c r="E144" s="38">
        <f>APU!C16</f>
        <v>56000.34782608696</v>
      </c>
      <c r="F144" s="39">
        <f>D144*E144</f>
        <v>174138.68159999998</v>
      </c>
    </row>
    <row r="145" spans="1:9">
      <c r="A145" s="35"/>
      <c r="B145" s="33" t="s">
        <v>70</v>
      </c>
      <c r="C145" s="28" t="s">
        <v>7</v>
      </c>
      <c r="D145" s="29">
        <f>F36/APU!C15</f>
        <v>5.7200000000000001E-2</v>
      </c>
      <c r="E145" s="38">
        <f>APU!C15</f>
        <v>900000</v>
      </c>
      <c r="F145" s="39">
        <f>D145*E145</f>
        <v>51480</v>
      </c>
    </row>
    <row r="146" spans="1:9">
      <c r="A146" s="35"/>
      <c r="B146" s="412" t="s">
        <v>4</v>
      </c>
      <c r="C146" s="412"/>
      <c r="D146" s="30"/>
      <c r="E146" s="38"/>
      <c r="F146" s="40">
        <f>SUM(F143:F145)</f>
        <v>604178.68160000001</v>
      </c>
    </row>
    <row r="147" spans="1:9">
      <c r="A147" s="191">
        <v>2</v>
      </c>
      <c r="B147" s="192" t="s">
        <v>130</v>
      </c>
      <c r="C147" s="193"/>
      <c r="D147" s="194">
        <f>D148</f>
        <v>1.5</v>
      </c>
      <c r="E147" s="193"/>
      <c r="F147" s="195"/>
      <c r="G147" s="136"/>
    </row>
    <row r="148" spans="1:9">
      <c r="A148" s="35"/>
      <c r="B148" s="33" t="s">
        <v>76</v>
      </c>
      <c r="C148" s="28" t="s">
        <v>133</v>
      </c>
      <c r="D148" s="66">
        <f>D79</f>
        <v>1.5</v>
      </c>
      <c r="E148" s="38">
        <f>APU!C17</f>
        <v>2363308</v>
      </c>
      <c r="F148" s="39">
        <f>D148*E148</f>
        <v>3544962</v>
      </c>
      <c r="G148" s="136"/>
    </row>
    <row r="149" spans="1:9">
      <c r="A149" s="35"/>
      <c r="B149" s="412" t="s">
        <v>4</v>
      </c>
      <c r="C149" s="412"/>
      <c r="D149" s="67"/>
      <c r="E149" s="38"/>
      <c r="F149" s="40">
        <f>SUM(F148)</f>
        <v>3544962</v>
      </c>
      <c r="G149" s="136">
        <f>F149-F79</f>
        <v>0</v>
      </c>
    </row>
    <row r="150" spans="1:9">
      <c r="A150" s="196">
        <v>3</v>
      </c>
      <c r="B150" s="197" t="s">
        <v>308</v>
      </c>
      <c r="C150" s="198"/>
      <c r="D150" s="261">
        <f>D151</f>
        <v>0.3</v>
      </c>
      <c r="E150" s="198"/>
      <c r="F150" s="199"/>
      <c r="G150" s="136"/>
    </row>
    <row r="151" spans="1:9">
      <c r="A151" s="35"/>
      <c r="B151" s="33" t="s">
        <v>309</v>
      </c>
      <c r="C151" s="28" t="s">
        <v>68</v>
      </c>
      <c r="D151" s="262">
        <f>D80</f>
        <v>0.3</v>
      </c>
      <c r="E151" s="38">
        <f>APU!C18</f>
        <v>9160000</v>
      </c>
      <c r="F151" s="39">
        <f>D151*E151</f>
        <v>2748000</v>
      </c>
      <c r="G151" s="136"/>
    </row>
    <row r="152" spans="1:9">
      <c r="A152" s="35"/>
      <c r="B152" s="412" t="s">
        <v>4</v>
      </c>
      <c r="C152" s="412"/>
      <c r="D152" s="67"/>
      <c r="E152" s="38"/>
      <c r="F152" s="40">
        <f>SUM(F151)</f>
        <v>2748000</v>
      </c>
      <c r="G152" s="136">
        <f>F152-F80</f>
        <v>0</v>
      </c>
    </row>
    <row r="153" spans="1:9" ht="15.75" thickBot="1">
      <c r="A153" s="47"/>
      <c r="B153" s="63" t="s">
        <v>40</v>
      </c>
      <c r="C153" s="64"/>
      <c r="D153" s="69"/>
      <c r="E153" s="65"/>
      <c r="F153" s="48">
        <f>F138+F133+F115+F99+F91+F124+F107+F141+F149+F152+F146</f>
        <v>25914226.410778053</v>
      </c>
      <c r="H153" s="239">
        <f>F153-E82</f>
        <v>25914226.410778053</v>
      </c>
    </row>
    <row r="154" spans="1:9" ht="15.75" thickBot="1"/>
    <row r="155" spans="1:9" ht="16.5" thickBot="1">
      <c r="A155" s="206"/>
      <c r="B155" s="207" t="s">
        <v>79</v>
      </c>
      <c r="C155" s="207" t="s">
        <v>1</v>
      </c>
      <c r="D155" s="208" t="s">
        <v>177</v>
      </c>
      <c r="E155" s="207" t="s">
        <v>81</v>
      </c>
      <c r="F155" s="209" t="s">
        <v>82</v>
      </c>
      <c r="G155" s="137" t="s">
        <v>83</v>
      </c>
    </row>
    <row r="156" spans="1:9" ht="15.75">
      <c r="A156" s="210"/>
      <c r="B156" s="211" t="s">
        <v>76</v>
      </c>
      <c r="C156" s="212" t="s">
        <v>66</v>
      </c>
      <c r="D156" s="213">
        <f>D90+D93+D109+D127+D135+D101+D118+D140+D144</f>
        <v>137.63852658730161</v>
      </c>
      <c r="E156" s="214">
        <f>APU!C16</f>
        <v>56000.34782608696</v>
      </c>
      <c r="F156" s="264">
        <f t="shared" ref="F156:F165" si="5">D156*E156</f>
        <v>7707805.3631590083</v>
      </c>
      <c r="G156" s="138">
        <f t="shared" ref="G156:G165" si="6">(F156*100)/$F$167</f>
        <v>29.743528674092445</v>
      </c>
      <c r="H156" s="266">
        <f>D156/10</f>
        <v>13.763852658730162</v>
      </c>
      <c r="I156" t="s">
        <v>204</v>
      </c>
    </row>
    <row r="157" spans="1:9" ht="15.75">
      <c r="A157" s="215"/>
      <c r="B157" s="216" t="s">
        <v>71</v>
      </c>
      <c r="C157" s="217" t="s">
        <v>5</v>
      </c>
      <c r="D157" s="218">
        <f>D96+D112+D130+D121+D104</f>
        <v>743.33333333333337</v>
      </c>
      <c r="E157" s="219">
        <f>APU!C6</f>
        <v>400</v>
      </c>
      <c r="F157" s="265">
        <f t="shared" si="5"/>
        <v>297333.33333333337</v>
      </c>
      <c r="G157" s="138">
        <f t="shared" si="6"/>
        <v>1.147374915307789</v>
      </c>
      <c r="H157" s="266">
        <f>H156/12</f>
        <v>1.1469877215608468</v>
      </c>
      <c r="I157" t="s">
        <v>203</v>
      </c>
    </row>
    <row r="158" spans="1:9" ht="15.75">
      <c r="A158" s="215"/>
      <c r="B158" s="216" t="s">
        <v>280</v>
      </c>
      <c r="C158" s="217" t="s">
        <v>5</v>
      </c>
      <c r="D158" s="218">
        <f>D136</f>
        <v>200</v>
      </c>
      <c r="E158" s="219">
        <f>APU!C5</f>
        <v>2400</v>
      </c>
      <c r="F158" s="265">
        <f t="shared" si="5"/>
        <v>480000</v>
      </c>
      <c r="G158" s="138">
        <f t="shared" si="6"/>
        <v>1.8522644372681794</v>
      </c>
      <c r="H158">
        <f>H157/4.2</f>
        <v>0.27309231465734446</v>
      </c>
      <c r="I158" t="s">
        <v>240</v>
      </c>
    </row>
    <row r="159" spans="1:9" ht="15.75">
      <c r="A159" s="215"/>
      <c r="B159" s="216" t="s">
        <v>87</v>
      </c>
      <c r="C159" s="217" t="s">
        <v>47</v>
      </c>
      <c r="D159" s="218">
        <f>D97+D113+D131+D122+D137+D105</f>
        <v>323</v>
      </c>
      <c r="E159" s="219">
        <f>APU!C4</f>
        <v>400</v>
      </c>
      <c r="F159" s="265">
        <f t="shared" si="5"/>
        <v>129200</v>
      </c>
      <c r="G159" s="138">
        <f t="shared" si="6"/>
        <v>0.49856784436468493</v>
      </c>
    </row>
    <row r="160" spans="1:9" ht="15.75">
      <c r="A160" s="215"/>
      <c r="B160" s="216" t="s">
        <v>70</v>
      </c>
      <c r="C160" s="217" t="s">
        <v>77</v>
      </c>
      <c r="D160" s="218">
        <f>D98+D114+D132+D123+D106+D145</f>
        <v>2.9952238095238095</v>
      </c>
      <c r="E160" s="219">
        <f>APU!C15</f>
        <v>900000</v>
      </c>
      <c r="F160" s="263">
        <f t="shared" si="5"/>
        <v>2695701.4285714286</v>
      </c>
      <c r="G160" s="138">
        <f t="shared" si="6"/>
        <v>10.402399770074759</v>
      </c>
    </row>
    <row r="161" spans="1:8" ht="15.75">
      <c r="A161" s="215"/>
      <c r="B161" s="216" t="s">
        <v>174</v>
      </c>
      <c r="C161" s="217" t="s">
        <v>7</v>
      </c>
      <c r="D161" s="218">
        <f>D94+D110+D128+D102+D119</f>
        <v>807.03571428571433</v>
      </c>
      <c r="E161" s="219">
        <f>APU!C3</f>
        <v>1800</v>
      </c>
      <c r="F161" s="263">
        <f t="shared" si="5"/>
        <v>1452664.2857142859</v>
      </c>
      <c r="G161" s="138">
        <f t="shared" si="6"/>
        <v>5.60566332441282</v>
      </c>
    </row>
    <row r="162" spans="1:8" ht="15.75">
      <c r="A162" s="215"/>
      <c r="B162" s="216" t="s">
        <v>175</v>
      </c>
      <c r="C162" s="217" t="s">
        <v>7</v>
      </c>
      <c r="D162" s="218">
        <f>D95+D111+D129+D120+D103</f>
        <v>3600</v>
      </c>
      <c r="E162" s="219">
        <f>APU!C3</f>
        <v>1800</v>
      </c>
      <c r="F162" s="263">
        <f t="shared" si="5"/>
        <v>6480000</v>
      </c>
      <c r="G162" s="138">
        <f t="shared" si="6"/>
        <v>25.005569903120421</v>
      </c>
      <c r="H162" s="42">
        <f>SUM(F160:F162)</f>
        <v>10628365.714285715</v>
      </c>
    </row>
    <row r="163" spans="1:8" ht="15.75">
      <c r="A163" s="215"/>
      <c r="B163" s="216" t="s">
        <v>232</v>
      </c>
      <c r="C163" s="217" t="s">
        <v>7</v>
      </c>
      <c r="D163" s="218">
        <f>D34</f>
        <v>52</v>
      </c>
      <c r="E163" s="219">
        <f>Cercado!D16</f>
        <v>7280</v>
      </c>
      <c r="F163" s="263">
        <f t="shared" si="5"/>
        <v>378560</v>
      </c>
      <c r="G163" s="138">
        <f t="shared" si="6"/>
        <v>1.4608192195255041</v>
      </c>
      <c r="H163" s="266">
        <f>D161+D162</f>
        <v>4407.0357142857147</v>
      </c>
    </row>
    <row r="164" spans="1:8" ht="15.75">
      <c r="A164" s="215"/>
      <c r="B164" s="216" t="s">
        <v>237</v>
      </c>
      <c r="C164" s="217" t="s">
        <v>133</v>
      </c>
      <c r="D164" s="218">
        <f>D79</f>
        <v>1.5</v>
      </c>
      <c r="E164" s="219">
        <f>E148</f>
        <v>2363308</v>
      </c>
      <c r="F164" s="260">
        <f t="shared" si="5"/>
        <v>3544962</v>
      </c>
      <c r="G164" s="138">
        <f t="shared" si="6"/>
        <v>13.679598008473082</v>
      </c>
      <c r="H164" s="239">
        <f>H162/H163</f>
        <v>2411.6813212638881</v>
      </c>
    </row>
    <row r="165" spans="1:8" ht="15.75">
      <c r="A165" s="215"/>
      <c r="B165" s="216" t="s">
        <v>238</v>
      </c>
      <c r="C165" s="217" t="s">
        <v>68</v>
      </c>
      <c r="D165" s="218">
        <f>D80</f>
        <v>0.3</v>
      </c>
      <c r="E165" s="219">
        <f>APU!C18</f>
        <v>9160000</v>
      </c>
      <c r="F165" s="260">
        <f t="shared" si="5"/>
        <v>2748000</v>
      </c>
      <c r="G165" s="138">
        <f t="shared" si="6"/>
        <v>10.604213903360327</v>
      </c>
    </row>
    <row r="166" spans="1:8" ht="6.75" customHeight="1">
      <c r="A166" s="215"/>
      <c r="B166" s="216"/>
      <c r="C166" s="217"/>
      <c r="D166" s="218"/>
      <c r="E166" s="219"/>
      <c r="F166" s="220"/>
      <c r="G166" s="138"/>
    </row>
    <row r="167" spans="1:8" ht="19.5" thickBot="1">
      <c r="A167" s="221"/>
      <c r="B167" s="222" t="s">
        <v>4</v>
      </c>
      <c r="C167" s="223"/>
      <c r="D167" s="224"/>
      <c r="E167" s="225"/>
      <c r="F167" s="226">
        <f>SUM(F156:F166)</f>
        <v>25914226.410778053</v>
      </c>
      <c r="G167" s="139">
        <f>SUM(G156:G165)</f>
        <v>100.00000000000001</v>
      </c>
    </row>
  </sheetData>
  <sheetProtection selectLockedCells="1" selectUnlockedCells="1"/>
  <mergeCells count="62">
    <mergeCell ref="B32:C32"/>
    <mergeCell ref="B27:F27"/>
    <mergeCell ref="B26:C26"/>
    <mergeCell ref="B69:C69"/>
    <mergeCell ref="B54:C54"/>
    <mergeCell ref="F41:F42"/>
    <mergeCell ref="B67:F67"/>
    <mergeCell ref="B59:F59"/>
    <mergeCell ref="A1:C1"/>
    <mergeCell ref="B19:F19"/>
    <mergeCell ref="B22:C22"/>
    <mergeCell ref="B3:F3"/>
    <mergeCell ref="B10:C10"/>
    <mergeCell ref="B14:C14"/>
    <mergeCell ref="B4:F4"/>
    <mergeCell ref="B11:F11"/>
    <mergeCell ref="B46:C46"/>
    <mergeCell ref="B7:F7"/>
    <mergeCell ref="B50:C50"/>
    <mergeCell ref="E41:E42"/>
    <mergeCell ref="B6:C6"/>
    <mergeCell ref="B29:C29"/>
    <mergeCell ref="B18:C18"/>
    <mergeCell ref="A40:C40"/>
    <mergeCell ref="B23:F23"/>
    <mergeCell ref="B15:F15"/>
    <mergeCell ref="B33:F33"/>
    <mergeCell ref="B37:C37"/>
    <mergeCell ref="B41:B42"/>
    <mergeCell ref="B47:F47"/>
    <mergeCell ref="C41:C42"/>
    <mergeCell ref="B30:F30"/>
    <mergeCell ref="B152:C152"/>
    <mergeCell ref="B146:C146"/>
    <mergeCell ref="B142:F142"/>
    <mergeCell ref="B38:E38"/>
    <mergeCell ref="B51:F51"/>
    <mergeCell ref="B70:F70"/>
    <mergeCell ref="B86:B87"/>
    <mergeCell ref="F86:F87"/>
    <mergeCell ref="B141:C141"/>
    <mergeCell ref="E89:F89"/>
    <mergeCell ref="B43:F43"/>
    <mergeCell ref="B44:F44"/>
    <mergeCell ref="D41:D42"/>
    <mergeCell ref="E86:E87"/>
    <mergeCell ref="B58:C58"/>
    <mergeCell ref="B63:F63"/>
    <mergeCell ref="B66:C66"/>
    <mergeCell ref="A85:F85"/>
    <mergeCell ref="B55:F55"/>
    <mergeCell ref="A76:F76"/>
    <mergeCell ref="B149:C149"/>
    <mergeCell ref="C86:C87"/>
    <mergeCell ref="B88:F88"/>
    <mergeCell ref="B138:C138"/>
    <mergeCell ref="B133:C133"/>
    <mergeCell ref="D86:D87"/>
    <mergeCell ref="B91:C91"/>
    <mergeCell ref="B73:E73"/>
    <mergeCell ref="B72:C72"/>
    <mergeCell ref="B62:C62"/>
  </mergeCells>
  <phoneticPr fontId="9" type="noConversion"/>
  <pageMargins left="0.31496062992125984" right="0.23622047244094491" top="0.35433070866141736" bottom="0.74803149606299213" header="0.11811023622047245" footer="0.11811023622047245"/>
  <pageSetup scale="85" orientation="portrait" r:id="rId1"/>
  <rowBreaks count="2" manualBreakCount="2">
    <brk id="84" max="16383" man="1"/>
    <brk id="132" max="16383" man="1"/>
  </rowBreaks>
</worksheet>
</file>

<file path=xl/worksheets/sheet4.xml><?xml version="1.0" encoding="utf-8"?>
<worksheet xmlns="http://schemas.openxmlformats.org/spreadsheetml/2006/main" xmlns:r="http://schemas.openxmlformats.org/officeDocument/2006/relationships">
  <dimension ref="A1:L18"/>
  <sheetViews>
    <sheetView workbookViewId="0">
      <selection activeCell="F19" sqref="F19"/>
    </sheetView>
  </sheetViews>
  <sheetFormatPr baseColWidth="10" defaultRowHeight="15"/>
  <cols>
    <col min="1" max="1" width="2.5703125" customWidth="1"/>
    <col min="4" max="4" width="14.42578125" customWidth="1"/>
    <col min="5" max="6" width="5.7109375" customWidth="1"/>
    <col min="7" max="8" width="6.85546875" customWidth="1"/>
    <col min="10" max="11" width="8.28515625" customWidth="1"/>
    <col min="12" max="12" width="3.28515625" customWidth="1"/>
  </cols>
  <sheetData>
    <row r="1" spans="1:12">
      <c r="A1" s="141"/>
      <c r="B1" s="142"/>
      <c r="C1" s="143"/>
      <c r="D1" s="143"/>
      <c r="E1" s="143"/>
      <c r="F1" s="143"/>
      <c r="G1" s="143"/>
      <c r="H1" s="143"/>
      <c r="I1" s="143"/>
      <c r="J1" s="143"/>
      <c r="K1" s="143"/>
      <c r="L1" s="144"/>
    </row>
    <row r="2" spans="1:12" ht="25.5">
      <c r="A2" s="145"/>
      <c r="B2" s="454" t="s">
        <v>91</v>
      </c>
      <c r="C2" s="454"/>
      <c r="D2" s="454"/>
      <c r="E2" s="454" t="s">
        <v>1</v>
      </c>
      <c r="F2" s="454"/>
      <c r="G2" s="454" t="s">
        <v>80</v>
      </c>
      <c r="H2" s="454"/>
      <c r="I2" s="146" t="s">
        <v>117</v>
      </c>
      <c r="J2" s="454" t="s">
        <v>118</v>
      </c>
      <c r="K2" s="454"/>
      <c r="L2" s="147"/>
    </row>
    <row r="3" spans="1:12">
      <c r="A3" s="145"/>
      <c r="B3" s="340" t="s">
        <v>119</v>
      </c>
      <c r="C3" s="340"/>
      <c r="D3" s="340"/>
      <c r="E3" s="341" t="s">
        <v>120</v>
      </c>
      <c r="F3" s="341"/>
      <c r="G3" s="341">
        <f>consolidado!D89</f>
        <v>30</v>
      </c>
      <c r="H3" s="341"/>
      <c r="I3" s="148">
        <f>consolidado!E45</f>
        <v>3733.3565217391306</v>
      </c>
      <c r="J3" s="455">
        <f>G3*I3</f>
        <v>112000.69565217392</v>
      </c>
      <c r="K3" s="455"/>
      <c r="L3" s="147"/>
    </row>
    <row r="4" spans="1:12">
      <c r="A4" s="145"/>
      <c r="B4" s="340" t="s">
        <v>121</v>
      </c>
      <c r="C4" s="340"/>
      <c r="D4" s="340"/>
      <c r="E4" s="341" t="s">
        <v>120</v>
      </c>
      <c r="F4" s="341"/>
      <c r="G4" s="341">
        <f>consolidado!D92</f>
        <v>15</v>
      </c>
      <c r="H4" s="341"/>
      <c r="I4" s="148">
        <f>consolidado!E48+consolidado!E49</f>
        <v>67094.838434782607</v>
      </c>
      <c r="J4" s="455">
        <f t="shared" ref="J4:J10" si="0">G4*I4</f>
        <v>1006422.5765217391</v>
      </c>
      <c r="K4" s="455"/>
      <c r="L4" s="147"/>
    </row>
    <row r="5" spans="1:12">
      <c r="A5" s="145"/>
      <c r="B5" s="340" t="s">
        <v>122</v>
      </c>
      <c r="C5" s="340"/>
      <c r="D5" s="340"/>
      <c r="E5" s="341" t="s">
        <v>120</v>
      </c>
      <c r="F5" s="341"/>
      <c r="G5" s="341">
        <f>consolidado!D100</f>
        <v>66.666666666666671</v>
      </c>
      <c r="H5" s="341"/>
      <c r="I5" s="148">
        <f>consolidado!E52+consolidado!E53</f>
        <v>40265.39808695652</v>
      </c>
      <c r="J5" s="455">
        <f t="shared" si="0"/>
        <v>2684359.8724637683</v>
      </c>
      <c r="K5" s="455"/>
      <c r="L5" s="147"/>
    </row>
    <row r="6" spans="1:12" ht="29.45" customHeight="1">
      <c r="A6" s="145"/>
      <c r="B6" s="340" t="s">
        <v>123</v>
      </c>
      <c r="C6" s="340"/>
      <c r="D6" s="340"/>
      <c r="E6" s="341" t="s">
        <v>120</v>
      </c>
      <c r="F6" s="341"/>
      <c r="G6" s="456">
        <f>consolidado!D108</f>
        <v>22</v>
      </c>
      <c r="H6" s="456"/>
      <c r="I6" s="148">
        <f>consolidado!E56+consolidado!E57</f>
        <v>69510.729630434769</v>
      </c>
      <c r="J6" s="455">
        <f>G6*I6</f>
        <v>1529236.0518695649</v>
      </c>
      <c r="K6" s="455"/>
      <c r="L6" s="147"/>
    </row>
    <row r="7" spans="1:12" ht="29.45" customHeight="1">
      <c r="A7" s="145"/>
      <c r="B7" s="340" t="s">
        <v>124</v>
      </c>
      <c r="C7" s="340"/>
      <c r="D7" s="340"/>
      <c r="E7" s="341" t="s">
        <v>120</v>
      </c>
      <c r="F7" s="341"/>
      <c r="G7" s="456">
        <f>consolidado!D117</f>
        <v>18</v>
      </c>
      <c r="H7" s="456"/>
      <c r="I7" s="148">
        <f>consolidado!E60+consolidado!E61</f>
        <v>27004.511304347827</v>
      </c>
      <c r="J7" s="455">
        <f>G7*I7</f>
        <v>486081.2034782609</v>
      </c>
      <c r="K7" s="455"/>
      <c r="L7" s="147"/>
    </row>
    <row r="8" spans="1:12">
      <c r="A8" s="145"/>
      <c r="B8" s="340" t="s">
        <v>125</v>
      </c>
      <c r="C8" s="340"/>
      <c r="D8" s="340"/>
      <c r="E8" s="341" t="s">
        <v>120</v>
      </c>
      <c r="F8" s="341"/>
      <c r="G8" s="456">
        <f>consolidado!D126</f>
        <v>250</v>
      </c>
      <c r="H8" s="456"/>
      <c r="I8" s="148">
        <f>consolidado!E64+consolidado!E65</f>
        <v>48998.597316770189</v>
      </c>
      <c r="J8" s="455">
        <f t="shared" si="0"/>
        <v>12249649.329192547</v>
      </c>
      <c r="K8" s="455"/>
      <c r="L8" s="147"/>
    </row>
    <row r="9" spans="1:12">
      <c r="A9" s="145"/>
      <c r="B9" s="340" t="s">
        <v>126</v>
      </c>
      <c r="C9" s="340"/>
      <c r="D9" s="340"/>
      <c r="E9" s="341" t="s">
        <v>120</v>
      </c>
      <c r="F9" s="341"/>
      <c r="G9" s="341" t="e">
        <f>consolidado!#REF!</f>
        <v>#REF!</v>
      </c>
      <c r="H9" s="341"/>
      <c r="I9" s="148" t="e">
        <f>consolidado!#REF!+consolidado!#REF!</f>
        <v>#REF!</v>
      </c>
      <c r="J9" s="455" t="e">
        <f t="shared" si="0"/>
        <v>#REF!</v>
      </c>
      <c r="K9" s="455"/>
      <c r="L9" s="147"/>
    </row>
    <row r="10" spans="1:12">
      <c r="A10" s="145"/>
      <c r="B10" s="340" t="s">
        <v>44</v>
      </c>
      <c r="C10" s="340"/>
      <c r="D10" s="340"/>
      <c r="E10" s="341" t="s">
        <v>127</v>
      </c>
      <c r="F10" s="341"/>
      <c r="G10" s="341">
        <f>consolidado!D134</f>
        <v>200</v>
      </c>
      <c r="H10" s="341"/>
      <c r="I10" s="148">
        <f>consolidado!E68</f>
        <v>3906.6747826086958</v>
      </c>
      <c r="J10" s="455">
        <f t="shared" si="0"/>
        <v>781334.95652173914</v>
      </c>
      <c r="K10" s="455"/>
      <c r="L10" s="147"/>
    </row>
    <row r="11" spans="1:12" ht="30" customHeight="1">
      <c r="A11" s="145"/>
      <c r="B11" s="340" t="s">
        <v>128</v>
      </c>
      <c r="C11" s="340"/>
      <c r="D11" s="340"/>
      <c r="E11" s="341" t="s">
        <v>120</v>
      </c>
      <c r="F11" s="341"/>
      <c r="G11" s="341">
        <f>consolidado!D139</f>
        <v>25</v>
      </c>
      <c r="H11" s="341"/>
      <c r="I11" s="148">
        <f>consolidado!E71</f>
        <v>6720.0417391304345</v>
      </c>
      <c r="J11" s="455">
        <f>G11*I11</f>
        <v>168001.04347826086</v>
      </c>
      <c r="K11" s="455"/>
      <c r="L11" s="147"/>
    </row>
    <row r="12" spans="1:12">
      <c r="A12" s="145"/>
      <c r="B12" s="340" t="s">
        <v>132</v>
      </c>
      <c r="C12" s="340"/>
      <c r="D12" s="340"/>
      <c r="E12" s="341" t="s">
        <v>133</v>
      </c>
      <c r="F12" s="341"/>
      <c r="G12" s="341">
        <v>1</v>
      </c>
      <c r="H12" s="341"/>
      <c r="I12" s="148">
        <f>APU!C17</f>
        <v>2363308</v>
      </c>
      <c r="J12" s="455">
        <f>G12*I12</f>
        <v>2363308</v>
      </c>
      <c r="K12" s="455"/>
      <c r="L12" s="147"/>
    </row>
    <row r="13" spans="1:12">
      <c r="A13" s="145"/>
      <c r="B13" s="340" t="s">
        <v>155</v>
      </c>
      <c r="C13" s="340"/>
      <c r="D13" s="340"/>
      <c r="E13" s="341" t="s">
        <v>133</v>
      </c>
      <c r="F13" s="341"/>
      <c r="G13" s="341">
        <v>2</v>
      </c>
      <c r="H13" s="341"/>
      <c r="I13" s="148">
        <f>APU!C18</f>
        <v>9160000</v>
      </c>
      <c r="J13" s="455">
        <f>G13*I13</f>
        <v>18320000</v>
      </c>
      <c r="K13" s="455"/>
      <c r="L13" s="147"/>
    </row>
    <row r="14" spans="1:12">
      <c r="A14" s="145"/>
      <c r="B14" s="454" t="s">
        <v>82</v>
      </c>
      <c r="C14" s="454"/>
      <c r="D14" s="454"/>
      <c r="E14" s="341"/>
      <c r="F14" s="341"/>
      <c r="G14" s="341"/>
      <c r="H14" s="341"/>
      <c r="I14" s="149"/>
      <c r="J14" s="455" t="e">
        <f>SUM(J3:K13)</f>
        <v>#REF!</v>
      </c>
      <c r="K14" s="455"/>
      <c r="L14" s="147"/>
    </row>
    <row r="15" spans="1:12">
      <c r="A15" s="145"/>
      <c r="B15" s="457" t="s">
        <v>129</v>
      </c>
      <c r="C15" s="457"/>
      <c r="D15" s="457"/>
      <c r="E15" s="457"/>
      <c r="F15" s="457"/>
      <c r="G15" s="457"/>
      <c r="H15" s="457"/>
      <c r="I15" s="457"/>
      <c r="J15" s="457"/>
      <c r="K15" s="457"/>
      <c r="L15" s="150"/>
    </row>
    <row r="16" spans="1:12" ht="15.75" thickBot="1">
      <c r="A16" s="151"/>
      <c r="B16" s="152"/>
      <c r="C16" s="152"/>
      <c r="D16" s="152"/>
      <c r="E16" s="152"/>
      <c r="F16" s="152"/>
      <c r="G16" s="152"/>
      <c r="H16" s="152"/>
      <c r="I16" s="152"/>
      <c r="J16" s="152"/>
      <c r="K16" s="152"/>
      <c r="L16" s="153"/>
    </row>
    <row r="17" spans="1:12">
      <c r="A17" s="154"/>
      <c r="B17" s="154"/>
      <c r="C17" s="154"/>
      <c r="D17" s="154"/>
      <c r="E17" s="154"/>
      <c r="F17" s="154"/>
      <c r="G17" s="154"/>
      <c r="H17" s="154"/>
      <c r="I17" s="154"/>
      <c r="J17" s="154"/>
      <c r="K17" s="154"/>
      <c r="L17" s="155"/>
    </row>
    <row r="18" spans="1:12">
      <c r="A18" s="154"/>
      <c r="B18" s="154"/>
      <c r="C18" s="154"/>
      <c r="D18" s="154"/>
      <c r="E18" s="154"/>
      <c r="F18" s="154"/>
      <c r="G18" s="154"/>
      <c r="H18" s="154"/>
      <c r="I18" s="154"/>
      <c r="J18" s="156"/>
      <c r="K18" s="154"/>
      <c r="L18" s="155"/>
    </row>
  </sheetData>
  <mergeCells count="53">
    <mergeCell ref="E13:F13"/>
    <mergeCell ref="G13:H13"/>
    <mergeCell ref="J13:K13"/>
    <mergeCell ref="B15:K15"/>
    <mergeCell ref="B12:D12"/>
    <mergeCell ref="E12:F12"/>
    <mergeCell ref="G12:H12"/>
    <mergeCell ref="J12:K12"/>
    <mergeCell ref="B14:D14"/>
    <mergeCell ref="E14:F14"/>
    <mergeCell ref="G14:H14"/>
    <mergeCell ref="J14:K14"/>
    <mergeCell ref="B13:D13"/>
    <mergeCell ref="B10:D10"/>
    <mergeCell ref="E10:F10"/>
    <mergeCell ref="G10:H10"/>
    <mergeCell ref="J10:K10"/>
    <mergeCell ref="B11:D11"/>
    <mergeCell ref="E11:F11"/>
    <mergeCell ref="G11:H11"/>
    <mergeCell ref="J11:K11"/>
    <mergeCell ref="B8:D8"/>
    <mergeCell ref="E8:F8"/>
    <mergeCell ref="G8:H8"/>
    <mergeCell ref="J8:K8"/>
    <mergeCell ref="B9:D9"/>
    <mergeCell ref="E9:F9"/>
    <mergeCell ref="G9:H9"/>
    <mergeCell ref="J9:K9"/>
    <mergeCell ref="B6:D6"/>
    <mergeCell ref="E6:F6"/>
    <mergeCell ref="G6:H6"/>
    <mergeCell ref="J6:K6"/>
    <mergeCell ref="B7:D7"/>
    <mergeCell ref="E7:F7"/>
    <mergeCell ref="G7:H7"/>
    <mergeCell ref="J7:K7"/>
    <mergeCell ref="B4:D4"/>
    <mergeCell ref="E4:F4"/>
    <mergeCell ref="G4:H4"/>
    <mergeCell ref="J4:K4"/>
    <mergeCell ref="B5:D5"/>
    <mergeCell ref="E5:F5"/>
    <mergeCell ref="G5:H5"/>
    <mergeCell ref="J5:K5"/>
    <mergeCell ref="B2:D2"/>
    <mergeCell ref="E2:F2"/>
    <mergeCell ref="G2:H2"/>
    <mergeCell ref="J2:K2"/>
    <mergeCell ref="B3:D3"/>
    <mergeCell ref="E3:F3"/>
    <mergeCell ref="G3:H3"/>
    <mergeCell ref="J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J10"/>
  <sheetViews>
    <sheetView workbookViewId="0">
      <selection activeCell="C5" sqref="C5"/>
    </sheetView>
  </sheetViews>
  <sheetFormatPr baseColWidth="10" defaultRowHeight="15"/>
  <cols>
    <col min="1" max="1" width="23" customWidth="1"/>
    <col min="2" max="2" width="10.140625" customWidth="1"/>
    <col min="3" max="3" width="13.28515625" customWidth="1"/>
    <col min="4" max="4" width="12.7109375" customWidth="1"/>
    <col min="5" max="5" width="12" customWidth="1"/>
    <col min="6" max="6" width="8.85546875" customWidth="1"/>
    <col min="7" max="7" width="10.85546875" customWidth="1"/>
    <col min="10" max="10" width="18.5703125" customWidth="1"/>
    <col min="11" max="11" width="13.5703125" customWidth="1"/>
  </cols>
  <sheetData>
    <row r="1" spans="1:10" ht="15.75" thickBot="1"/>
    <row r="2" spans="1:10">
      <c r="A2" s="458" t="s">
        <v>57</v>
      </c>
      <c r="B2" s="459"/>
      <c r="C2" s="459"/>
      <c r="D2" s="459"/>
      <c r="E2" s="459"/>
      <c r="F2" s="459"/>
      <c r="G2" s="460"/>
    </row>
    <row r="3" spans="1:10" ht="47.25" customHeight="1">
      <c r="A3" s="12"/>
      <c r="B3" s="11" t="s">
        <v>5</v>
      </c>
      <c r="C3" s="11" t="s">
        <v>12</v>
      </c>
      <c r="D3" s="11" t="s">
        <v>55</v>
      </c>
      <c r="E3" s="11" t="s">
        <v>164</v>
      </c>
      <c r="F3" s="11" t="s">
        <v>58</v>
      </c>
      <c r="G3" s="13" t="s">
        <v>27</v>
      </c>
      <c r="J3" s="6"/>
    </row>
    <row r="4" spans="1:10">
      <c r="A4" s="14" t="s">
        <v>65</v>
      </c>
      <c r="B4" s="20" t="s">
        <v>53</v>
      </c>
      <c r="C4" s="21">
        <v>15</v>
      </c>
      <c r="D4" s="21">
        <f>APU!C16</f>
        <v>56000.34782608696</v>
      </c>
      <c r="E4" s="21">
        <f>D4/C4</f>
        <v>3733.3565217391306</v>
      </c>
      <c r="F4" s="19"/>
      <c r="G4" s="22">
        <f>E4</f>
        <v>3733.3565217391306</v>
      </c>
    </row>
    <row r="5" spans="1:10" ht="15.75" thickBot="1">
      <c r="A5" s="15" t="s">
        <v>60</v>
      </c>
      <c r="B5" s="16"/>
      <c r="C5" s="17"/>
      <c r="D5" s="17"/>
      <c r="E5" s="17"/>
      <c r="F5" s="18"/>
      <c r="G5" s="23">
        <f>SUM(G4:G4)</f>
        <v>3733.3565217391306</v>
      </c>
    </row>
    <row r="6" spans="1:10">
      <c r="A6" s="3"/>
    </row>
    <row r="7" spans="1:10">
      <c r="A7" s="3"/>
      <c r="B7" s="2"/>
      <c r="C7" s="2"/>
      <c r="D7" s="2"/>
      <c r="E7" s="2"/>
    </row>
    <row r="8" spans="1:10">
      <c r="A8" s="3"/>
    </row>
    <row r="9" spans="1:10">
      <c r="A9" s="3"/>
      <c r="C9" s="6"/>
      <c r="D9" s="6"/>
      <c r="E9" s="6"/>
    </row>
    <row r="10" spans="1:10">
      <c r="A10" s="3"/>
      <c r="C10" s="4"/>
      <c r="D10" s="4"/>
      <c r="E10" s="4"/>
    </row>
  </sheetData>
  <mergeCells count="1">
    <mergeCell ref="A2:G2"/>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I49"/>
  <sheetViews>
    <sheetView topLeftCell="A28" workbookViewId="0">
      <selection activeCell="H44" sqref="H44"/>
    </sheetView>
  </sheetViews>
  <sheetFormatPr baseColWidth="10" defaultRowHeight="15"/>
  <cols>
    <col min="1" max="1" width="3.5703125" customWidth="1"/>
    <col min="2" max="2" width="13.85546875" customWidth="1"/>
    <col min="3" max="3" width="12" bestFit="1" customWidth="1"/>
    <col min="4" max="4" width="12.7109375" customWidth="1"/>
    <col min="5" max="5" width="14.5703125" customWidth="1"/>
    <col min="7" max="7" width="5.5703125" customWidth="1"/>
  </cols>
  <sheetData>
    <row r="1" spans="2:9" ht="15.75" thickBot="1"/>
    <row r="2" spans="2:9">
      <c r="B2" s="458" t="s">
        <v>105</v>
      </c>
      <c r="C2" s="459"/>
      <c r="D2" s="459"/>
      <c r="E2" s="459"/>
      <c r="F2" s="460"/>
    </row>
    <row r="3" spans="2:9" ht="30">
      <c r="B3" s="12"/>
      <c r="C3" s="8" t="s">
        <v>10</v>
      </c>
      <c r="D3" s="8" t="s">
        <v>8</v>
      </c>
      <c r="E3" s="8" t="s">
        <v>9</v>
      </c>
      <c r="F3" s="25" t="s">
        <v>5</v>
      </c>
    </row>
    <row r="4" spans="2:9">
      <c r="B4" s="14" t="s">
        <v>6</v>
      </c>
      <c r="C4" s="83">
        <v>0.5</v>
      </c>
      <c r="D4" s="44">
        <v>0.6</v>
      </c>
      <c r="E4" s="83">
        <f>C4*D4*1</f>
        <v>0.3</v>
      </c>
      <c r="F4" s="26" t="s">
        <v>11</v>
      </c>
    </row>
    <row r="5" spans="2:9">
      <c r="B5" s="14"/>
      <c r="C5" s="7"/>
      <c r="D5" s="7"/>
      <c r="E5" s="7"/>
      <c r="F5" s="24"/>
    </row>
    <row r="6" spans="2:9" ht="30">
      <c r="B6" s="14" t="s">
        <v>12</v>
      </c>
      <c r="C6" s="8" t="s">
        <v>14</v>
      </c>
      <c r="D6" s="8" t="s">
        <v>16</v>
      </c>
      <c r="E6" s="8" t="s">
        <v>15</v>
      </c>
      <c r="F6" s="24"/>
      <c r="I6" s="5"/>
    </row>
    <row r="7" spans="2:9" ht="15.75" thickBot="1">
      <c r="B7" s="15" t="s">
        <v>13</v>
      </c>
      <c r="C7" s="84">
        <f>APU!C16</f>
        <v>56000.34782608696</v>
      </c>
      <c r="D7" s="85">
        <f>2.5/E4</f>
        <v>8.3333333333333339</v>
      </c>
      <c r="E7" s="85">
        <f>C7/D7</f>
        <v>6720.0417391304345</v>
      </c>
      <c r="F7" s="27"/>
      <c r="H7" s="70"/>
    </row>
    <row r="8" spans="2:9" ht="19.5" customHeight="1" thickBot="1">
      <c r="B8" s="461" t="s">
        <v>134</v>
      </c>
      <c r="C8" s="462"/>
      <c r="D8" s="462"/>
      <c r="E8" s="462"/>
      <c r="F8" s="463"/>
    </row>
    <row r="9" spans="2:9">
      <c r="B9" s="10"/>
      <c r="C9" s="10"/>
      <c r="D9" s="10"/>
      <c r="E9" s="10"/>
      <c r="F9" s="10"/>
    </row>
    <row r="10" spans="2:9" ht="15.75" thickBot="1"/>
    <row r="11" spans="2:9">
      <c r="B11" s="464" t="s">
        <v>99</v>
      </c>
      <c r="C11" s="465"/>
      <c r="D11" s="465"/>
      <c r="E11" s="465"/>
      <c r="F11" s="466"/>
    </row>
    <row r="12" spans="2:9" ht="30">
      <c r="B12" s="12"/>
      <c r="C12" s="8" t="s">
        <v>10</v>
      </c>
      <c r="D12" s="8" t="s">
        <v>8</v>
      </c>
      <c r="E12" s="8" t="s">
        <v>9</v>
      </c>
      <c r="F12" s="25" t="s">
        <v>5</v>
      </c>
    </row>
    <row r="13" spans="2:9">
      <c r="B13" s="14" t="s">
        <v>6</v>
      </c>
      <c r="C13" s="9">
        <v>1</v>
      </c>
      <c r="D13" s="44">
        <v>0.5</v>
      </c>
      <c r="E13" s="9">
        <f>C13*D13*1</f>
        <v>0.5</v>
      </c>
      <c r="F13" s="26" t="s">
        <v>11</v>
      </c>
    </row>
    <row r="14" spans="2:9">
      <c r="B14" s="14"/>
      <c r="C14" s="7"/>
      <c r="D14" s="7"/>
      <c r="E14" s="7"/>
      <c r="F14" s="24"/>
      <c r="I14" s="5"/>
    </row>
    <row r="15" spans="2:9" ht="30">
      <c r="B15" s="14" t="s">
        <v>12</v>
      </c>
      <c r="C15" s="8" t="s">
        <v>14</v>
      </c>
      <c r="D15" s="8" t="s">
        <v>16</v>
      </c>
      <c r="E15" s="8" t="s">
        <v>15</v>
      </c>
      <c r="F15" s="24"/>
    </row>
    <row r="16" spans="2:9" ht="19.5" customHeight="1" thickBot="1">
      <c r="B16" s="15" t="s">
        <v>13</v>
      </c>
      <c r="C16" s="37">
        <f>APU!C16</f>
        <v>56000.34782608696</v>
      </c>
      <c r="D16" s="17">
        <f>1.5/E13</f>
        <v>3</v>
      </c>
      <c r="E16" s="17">
        <f>C16/D16</f>
        <v>18666.782608695652</v>
      </c>
      <c r="F16" s="27"/>
    </row>
    <row r="17" spans="2:6" ht="19.5" customHeight="1" thickBot="1">
      <c r="B17" s="461" t="s">
        <v>255</v>
      </c>
      <c r="C17" s="462"/>
      <c r="D17" s="462"/>
      <c r="E17" s="462"/>
      <c r="F17" s="463"/>
    </row>
    <row r="18" spans="2:6" ht="15.75" thickBot="1"/>
    <row r="19" spans="2:6">
      <c r="B19" s="458" t="s">
        <v>100</v>
      </c>
      <c r="C19" s="459"/>
      <c r="D19" s="459"/>
      <c r="E19" s="459"/>
      <c r="F19" s="460"/>
    </row>
    <row r="20" spans="2:6" ht="30">
      <c r="B20" s="12"/>
      <c r="C20" s="8" t="s">
        <v>10</v>
      </c>
      <c r="D20" s="8" t="s">
        <v>8</v>
      </c>
      <c r="E20" s="8" t="s">
        <v>9</v>
      </c>
      <c r="F20" s="25" t="s">
        <v>5</v>
      </c>
    </row>
    <row r="21" spans="2:6">
      <c r="B21" s="14" t="s">
        <v>6</v>
      </c>
      <c r="C21" s="82">
        <v>0.6</v>
      </c>
      <c r="D21" s="44">
        <v>0.35</v>
      </c>
      <c r="E21" s="82">
        <f>C21*D21*1</f>
        <v>0.21</v>
      </c>
      <c r="F21" s="26" t="s">
        <v>11</v>
      </c>
    </row>
    <row r="22" spans="2:6">
      <c r="B22" s="14"/>
      <c r="C22" s="7"/>
      <c r="D22" s="7"/>
      <c r="E22" s="7"/>
      <c r="F22" s="24"/>
    </row>
    <row r="23" spans="2:6" ht="30">
      <c r="B23" s="14" t="s">
        <v>12</v>
      </c>
      <c r="C23" s="8" t="s">
        <v>14</v>
      </c>
      <c r="D23" s="8" t="s">
        <v>16</v>
      </c>
      <c r="E23" s="8" t="s">
        <v>15</v>
      </c>
      <c r="F23" s="24"/>
    </row>
    <row r="24" spans="2:6" ht="15.75" thickBot="1">
      <c r="B24" s="15" t="s">
        <v>13</v>
      </c>
      <c r="C24" s="37">
        <f>APU!C16</f>
        <v>56000.34782608696</v>
      </c>
      <c r="D24" s="17">
        <f>2.5/E21</f>
        <v>11.904761904761905</v>
      </c>
      <c r="E24" s="17">
        <f>C24/D24</f>
        <v>4704.0292173913049</v>
      </c>
      <c r="F24" s="27"/>
    </row>
    <row r="25" spans="2:6" ht="15.75" thickBot="1">
      <c r="B25" s="461" t="s">
        <v>134</v>
      </c>
      <c r="C25" s="462"/>
      <c r="D25" s="462"/>
      <c r="E25" s="462"/>
      <c r="F25" s="463"/>
    </row>
    <row r="26" spans="2:6" ht="15.75" thickBot="1">
      <c r="B26" s="10"/>
      <c r="C26" s="10"/>
      <c r="D26" s="10"/>
      <c r="E26" s="10"/>
      <c r="F26" s="10"/>
    </row>
    <row r="27" spans="2:6">
      <c r="B27" s="464" t="s">
        <v>109</v>
      </c>
      <c r="C27" s="465"/>
      <c r="D27" s="465"/>
      <c r="E27" s="465"/>
      <c r="F27" s="466"/>
    </row>
    <row r="28" spans="2:6" ht="30">
      <c r="B28" s="12"/>
      <c r="C28" s="8" t="s">
        <v>10</v>
      </c>
      <c r="D28" s="8" t="s">
        <v>8</v>
      </c>
      <c r="E28" s="8" t="s">
        <v>9</v>
      </c>
      <c r="F28" s="25" t="s">
        <v>5</v>
      </c>
    </row>
    <row r="29" spans="2:6">
      <c r="B29" s="14" t="s">
        <v>6</v>
      </c>
      <c r="C29" s="83">
        <f>C13+0.15</f>
        <v>1.1499999999999999</v>
      </c>
      <c r="D29" s="83">
        <v>0.3</v>
      </c>
      <c r="E29" s="83">
        <f>C29*D29*1</f>
        <v>0.34499999999999997</v>
      </c>
      <c r="F29" s="26" t="s">
        <v>11</v>
      </c>
    </row>
    <row r="30" spans="2:6">
      <c r="B30" s="14"/>
      <c r="C30" s="7"/>
      <c r="D30" s="7"/>
      <c r="E30" s="7"/>
      <c r="F30" s="24"/>
    </row>
    <row r="31" spans="2:6" ht="30">
      <c r="B31" s="14" t="s">
        <v>12</v>
      </c>
      <c r="C31" s="8" t="s">
        <v>14</v>
      </c>
      <c r="D31" s="8" t="s">
        <v>16</v>
      </c>
      <c r="E31" s="8" t="s">
        <v>15</v>
      </c>
      <c r="F31" s="24"/>
    </row>
    <row r="32" spans="2:6" ht="19.5" customHeight="1" thickBot="1">
      <c r="B32" s="15" t="s">
        <v>13</v>
      </c>
      <c r="C32" s="37">
        <f>APU!C16</f>
        <v>56000.34782608696</v>
      </c>
      <c r="D32" s="17">
        <f>1/E29</f>
        <v>2.8985507246376816</v>
      </c>
      <c r="E32" s="17">
        <f>C32/D32</f>
        <v>19320.12</v>
      </c>
      <c r="F32" s="27"/>
    </row>
    <row r="33" spans="2:6" ht="15.75" thickBot="1">
      <c r="B33" s="461" t="s">
        <v>256</v>
      </c>
      <c r="C33" s="462"/>
      <c r="D33" s="462"/>
      <c r="E33" s="462"/>
      <c r="F33" s="463"/>
    </row>
    <row r="34" spans="2:6" ht="15.75" thickBot="1"/>
    <row r="35" spans="2:6">
      <c r="B35" s="458" t="s">
        <v>84</v>
      </c>
      <c r="C35" s="470"/>
      <c r="D35" s="470"/>
      <c r="E35" s="470"/>
      <c r="F35" s="471"/>
    </row>
    <row r="36" spans="2:6" ht="30">
      <c r="B36" s="12"/>
      <c r="C36" s="8" t="s">
        <v>10</v>
      </c>
      <c r="D36" s="8" t="s">
        <v>8</v>
      </c>
      <c r="E36" s="8" t="s">
        <v>9</v>
      </c>
      <c r="F36" s="25" t="s">
        <v>5</v>
      </c>
    </row>
    <row r="37" spans="2:6">
      <c r="B37" s="14" t="s">
        <v>6</v>
      </c>
      <c r="C37" s="9">
        <v>0.6</v>
      </c>
      <c r="D37" s="9">
        <v>0.3</v>
      </c>
      <c r="E37" s="9">
        <f>C37*D37*1</f>
        <v>0.18</v>
      </c>
      <c r="F37" s="26" t="s">
        <v>11</v>
      </c>
    </row>
    <row r="38" spans="2:6">
      <c r="B38" s="14"/>
      <c r="C38" s="7"/>
      <c r="D38" s="7"/>
      <c r="E38" s="7"/>
      <c r="F38" s="24"/>
    </row>
    <row r="39" spans="2:6" ht="30">
      <c r="B39" s="14" t="s">
        <v>12</v>
      </c>
      <c r="C39" s="8" t="s">
        <v>14</v>
      </c>
      <c r="D39" s="8" t="s">
        <v>16</v>
      </c>
      <c r="E39" s="8" t="s">
        <v>15</v>
      </c>
      <c r="F39" s="24"/>
    </row>
    <row r="40" spans="2:6" ht="15.75" thickBot="1">
      <c r="B40" s="15" t="s">
        <v>13</v>
      </c>
      <c r="C40" s="37">
        <f>APU!C16</f>
        <v>56000.34782608696</v>
      </c>
      <c r="D40" s="17">
        <f>2.5/E37</f>
        <v>13.888888888888889</v>
      </c>
      <c r="E40" s="17">
        <f>C40/D40</f>
        <v>4032.0250434782611</v>
      </c>
      <c r="F40" s="27"/>
    </row>
    <row r="41" spans="2:6" ht="15.75" thickBot="1">
      <c r="B41" s="472" t="s">
        <v>134</v>
      </c>
      <c r="C41" s="473"/>
      <c r="D41" s="473"/>
      <c r="E41" s="473"/>
      <c r="F41" s="474"/>
    </row>
    <row r="42" spans="2:6" ht="15.75" thickBot="1"/>
    <row r="43" spans="2:6">
      <c r="B43" s="464" t="s">
        <v>17</v>
      </c>
      <c r="C43" s="465"/>
      <c r="D43" s="465"/>
      <c r="E43" s="465"/>
      <c r="F43" s="466"/>
    </row>
    <row r="44" spans="2:6" ht="30">
      <c r="B44" s="12"/>
      <c r="C44" s="8" t="s">
        <v>10</v>
      </c>
      <c r="D44" s="8" t="s">
        <v>8</v>
      </c>
      <c r="E44" s="8" t="s">
        <v>9</v>
      </c>
      <c r="F44" s="25" t="s">
        <v>5</v>
      </c>
    </row>
    <row r="45" spans="2:6">
      <c r="B45" s="14" t="s">
        <v>6</v>
      </c>
      <c r="C45" s="9">
        <v>0.4</v>
      </c>
      <c r="D45" s="9">
        <v>0.3</v>
      </c>
      <c r="E45" s="9">
        <f>C45*D45*1</f>
        <v>0.12</v>
      </c>
      <c r="F45" s="26" t="s">
        <v>11</v>
      </c>
    </row>
    <row r="46" spans="2:6">
      <c r="B46" s="14"/>
      <c r="C46" s="7"/>
      <c r="D46" s="7"/>
      <c r="E46" s="7"/>
      <c r="F46" s="24"/>
    </row>
    <row r="47" spans="2:6" ht="30">
      <c r="B47" s="14" t="s">
        <v>12</v>
      </c>
      <c r="C47" s="8" t="s">
        <v>14</v>
      </c>
      <c r="D47" s="8" t="s">
        <v>16</v>
      </c>
      <c r="E47" s="8" t="s">
        <v>15</v>
      </c>
      <c r="F47" s="24"/>
    </row>
    <row r="48" spans="2:6" ht="15.75" thickBot="1">
      <c r="B48" s="56" t="s">
        <v>13</v>
      </c>
      <c r="C48" s="57">
        <f>APU!C16</f>
        <v>56000.34782608696</v>
      </c>
      <c r="D48" s="58">
        <f>1.5/E45</f>
        <v>12.5</v>
      </c>
      <c r="E48" s="58">
        <f>C48/D48</f>
        <v>4480.0278260869563</v>
      </c>
      <c r="F48" s="59"/>
    </row>
    <row r="49" spans="2:6" ht="15.75" thickBot="1">
      <c r="B49" s="467" t="s">
        <v>255</v>
      </c>
      <c r="C49" s="468"/>
      <c r="D49" s="468"/>
      <c r="E49" s="468"/>
      <c r="F49" s="469"/>
    </row>
  </sheetData>
  <mergeCells count="12">
    <mergeCell ref="B2:F2"/>
    <mergeCell ref="B8:F8"/>
    <mergeCell ref="B27:F27"/>
    <mergeCell ref="B33:F33"/>
    <mergeCell ref="B49:F49"/>
    <mergeCell ref="B17:F17"/>
    <mergeCell ref="B11:F11"/>
    <mergeCell ref="B35:F35"/>
    <mergeCell ref="B43:F43"/>
    <mergeCell ref="B41:F41"/>
    <mergeCell ref="B19:F19"/>
    <mergeCell ref="B25:F25"/>
  </mergeCells>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R69"/>
  <sheetViews>
    <sheetView topLeftCell="A34" zoomScale="71" zoomScaleNormal="71" workbookViewId="0">
      <selection activeCell="F73" sqref="F73"/>
    </sheetView>
  </sheetViews>
  <sheetFormatPr baseColWidth="10" defaultRowHeight="15"/>
  <cols>
    <col min="1" max="1" width="25" customWidth="1"/>
    <col min="3" max="3" width="14.140625" customWidth="1"/>
    <col min="4" max="4" width="12.7109375" customWidth="1"/>
    <col min="5" max="5" width="12" customWidth="1"/>
    <col min="6" max="6" width="13.42578125" customWidth="1"/>
    <col min="7" max="7" width="14.28515625" customWidth="1"/>
    <col min="9" max="9" width="15.140625" customWidth="1"/>
    <col min="10" max="10" width="18.5703125" customWidth="1"/>
    <col min="11" max="11" width="13.5703125" customWidth="1"/>
  </cols>
  <sheetData>
    <row r="1" spans="1:18" ht="15.75" thickBot="1"/>
    <row r="2" spans="1:18">
      <c r="A2" s="464" t="s">
        <v>102</v>
      </c>
      <c r="B2" s="465"/>
      <c r="C2" s="465"/>
      <c r="D2" s="465"/>
      <c r="E2" s="465"/>
      <c r="F2" s="465"/>
      <c r="G2" s="466"/>
      <c r="I2" s="479" t="s">
        <v>72</v>
      </c>
      <c r="J2" s="479"/>
    </row>
    <row r="3" spans="1:18" ht="47.25" customHeight="1">
      <c r="A3" s="12"/>
      <c r="B3" s="11" t="s">
        <v>5</v>
      </c>
      <c r="C3" s="11" t="s">
        <v>12</v>
      </c>
      <c r="D3" s="11" t="s">
        <v>19</v>
      </c>
      <c r="E3" s="11" t="s">
        <v>27</v>
      </c>
      <c r="F3" s="11" t="s">
        <v>64</v>
      </c>
      <c r="G3" s="13" t="s">
        <v>27</v>
      </c>
      <c r="I3" s="60" t="s">
        <v>70</v>
      </c>
      <c r="J3" s="61">
        <f>G4</f>
        <v>9600</v>
      </c>
    </row>
    <row r="4" spans="1:18" ht="32.25" customHeight="1">
      <c r="A4" s="14" t="s">
        <v>173</v>
      </c>
      <c r="B4" s="20" t="s">
        <v>7</v>
      </c>
      <c r="C4" s="21">
        <v>1500</v>
      </c>
      <c r="D4" s="21">
        <f>APU!C15</f>
        <v>900000</v>
      </c>
      <c r="E4" s="21">
        <f>D4/C4</f>
        <v>600</v>
      </c>
      <c r="F4" s="19">
        <f>F7</f>
        <v>16</v>
      </c>
      <c r="G4" s="22">
        <f>E4*F4</f>
        <v>9600</v>
      </c>
      <c r="I4" s="7" t="s">
        <v>69</v>
      </c>
      <c r="J4" s="62">
        <f>G5+G6+G8+G12+G11</f>
        <v>8988.0558260869566</v>
      </c>
      <c r="K4" s="202">
        <f>J4+Excavacion!E16</f>
        <v>27654.838434782607</v>
      </c>
      <c r="O4">
        <f>7500/(2.5*2.5)</f>
        <v>1200</v>
      </c>
    </row>
    <row r="5" spans="1:18" ht="30">
      <c r="A5" s="14" t="s">
        <v>165</v>
      </c>
      <c r="B5" s="20" t="s">
        <v>7</v>
      </c>
      <c r="C5" s="21">
        <v>240</v>
      </c>
      <c r="D5" s="21">
        <f>APU!C16</f>
        <v>56000.34782608696</v>
      </c>
      <c r="E5" s="21">
        <f>D5/C5</f>
        <v>233.33478260869566</v>
      </c>
      <c r="F5" s="19">
        <f>F7</f>
        <v>16</v>
      </c>
      <c r="G5" s="22">
        <f>E5*F5</f>
        <v>3733.3565217391306</v>
      </c>
      <c r="I5" s="7"/>
      <c r="J5" s="7"/>
      <c r="O5">
        <f>O4*3</f>
        <v>3600</v>
      </c>
    </row>
    <row r="6" spans="1:18" ht="32.25" customHeight="1">
      <c r="A6" s="14" t="s">
        <v>21</v>
      </c>
      <c r="B6" s="20" t="s">
        <v>7</v>
      </c>
      <c r="C6" s="21">
        <v>20</v>
      </c>
      <c r="D6" s="21">
        <f>APU!C16</f>
        <v>56000.34782608696</v>
      </c>
      <c r="E6" s="21">
        <f>D6/C6</f>
        <v>2800.0173913043482</v>
      </c>
      <c r="F6" s="19"/>
      <c r="G6" s="22">
        <f>E6</f>
        <v>2800.0173913043482</v>
      </c>
      <c r="I6" s="7" t="s">
        <v>166</v>
      </c>
      <c r="J6" s="7">
        <f>F7</f>
        <v>16</v>
      </c>
    </row>
    <row r="7" spans="1:18">
      <c r="A7" s="14" t="s">
        <v>167</v>
      </c>
      <c r="B7" s="20" t="s">
        <v>7</v>
      </c>
      <c r="C7" s="21">
        <v>1</v>
      </c>
      <c r="D7" s="21">
        <v>1</v>
      </c>
      <c r="E7" s="45">
        <f>APU!$C$3</f>
        <v>1800</v>
      </c>
      <c r="F7" s="127">
        <v>16</v>
      </c>
      <c r="G7" s="22">
        <f t="shared" ref="G7:G12" si="0">E7*F7</f>
        <v>28800</v>
      </c>
      <c r="I7" s="7" t="s">
        <v>71</v>
      </c>
      <c r="J7" s="7">
        <v>4</v>
      </c>
    </row>
    <row r="8" spans="1:18" ht="45" customHeight="1">
      <c r="A8" s="14" t="s">
        <v>22</v>
      </c>
      <c r="B8" s="20" t="s">
        <v>7</v>
      </c>
      <c r="C8" s="21">
        <v>30</v>
      </c>
      <c r="D8" s="21">
        <f>APU!C16</f>
        <v>56000.34782608696</v>
      </c>
      <c r="E8" s="21">
        <f>D8/C8</f>
        <v>1866.6782608695653</v>
      </c>
      <c r="F8" s="19">
        <v>1</v>
      </c>
      <c r="G8" s="22">
        <f t="shared" si="0"/>
        <v>1866.6782608695653</v>
      </c>
      <c r="Q8">
        <v>350</v>
      </c>
      <c r="R8">
        <f>1100000/Q8</f>
        <v>3142.8571428571427</v>
      </c>
    </row>
    <row r="9" spans="1:18" ht="32.25" customHeight="1">
      <c r="A9" s="14" t="s">
        <v>176</v>
      </c>
      <c r="B9" s="20" t="s">
        <v>5</v>
      </c>
      <c r="C9" s="21">
        <v>1</v>
      </c>
      <c r="D9" s="21">
        <v>1</v>
      </c>
      <c r="E9" s="21">
        <f>APU!$C$6</f>
        <v>400</v>
      </c>
      <c r="F9" s="19">
        <v>2</v>
      </c>
      <c r="G9" s="22">
        <f t="shared" si="0"/>
        <v>800</v>
      </c>
      <c r="R9">
        <f>R8/6</f>
        <v>523.80952380952374</v>
      </c>
    </row>
    <row r="10" spans="1:18">
      <c r="A10" s="14" t="s">
        <v>85</v>
      </c>
      <c r="B10" s="20" t="s">
        <v>47</v>
      </c>
      <c r="C10" s="76" t="s">
        <v>86</v>
      </c>
      <c r="D10" s="76" t="s">
        <v>86</v>
      </c>
      <c r="E10" s="76">
        <f>APU!$C$4</f>
        <v>400</v>
      </c>
      <c r="F10" s="19">
        <v>0.6</v>
      </c>
      <c r="G10" s="22">
        <f t="shared" si="0"/>
        <v>240</v>
      </c>
      <c r="J10">
        <v>1780</v>
      </c>
      <c r="R10">
        <f>4500/6</f>
        <v>750</v>
      </c>
    </row>
    <row r="11" spans="1:18" ht="30">
      <c r="A11" s="14" t="s">
        <v>54</v>
      </c>
      <c r="B11" s="20" t="s">
        <v>7</v>
      </c>
      <c r="C11" s="21">
        <f>20*40</f>
        <v>800</v>
      </c>
      <c r="D11" s="21">
        <f>APU!C16</f>
        <v>56000.34782608696</v>
      </c>
      <c r="E11" s="21">
        <f>D11/C11</f>
        <v>70.000434782608693</v>
      </c>
      <c r="F11" s="19">
        <v>2</v>
      </c>
      <c r="G11" s="22">
        <f t="shared" si="0"/>
        <v>140.00086956521739</v>
      </c>
      <c r="J11">
        <v>533</v>
      </c>
      <c r="R11">
        <f>R9+R10</f>
        <v>1273.8095238095239</v>
      </c>
    </row>
    <row r="12" spans="1:18" ht="36.75" customHeight="1">
      <c r="A12" s="14" t="s">
        <v>62</v>
      </c>
      <c r="B12" s="20" t="s">
        <v>5</v>
      </c>
      <c r="C12" s="21">
        <v>250</v>
      </c>
      <c r="D12" s="21">
        <f>APU!C16</f>
        <v>56000.34782608696</v>
      </c>
      <c r="E12" s="21">
        <f>D12/C12</f>
        <v>224.00139130434783</v>
      </c>
      <c r="F12" s="19">
        <v>2</v>
      </c>
      <c r="G12" s="22">
        <f t="shared" si="0"/>
        <v>448.00278260869567</v>
      </c>
      <c r="J12" s="128">
        <f>J10*J11</f>
        <v>948740</v>
      </c>
      <c r="R12" s="285">
        <f>E17</f>
        <v>600</v>
      </c>
    </row>
    <row r="13" spans="1:18" ht="15.75" thickBot="1">
      <c r="A13" s="15" t="s">
        <v>23</v>
      </c>
      <c r="B13" s="16"/>
      <c r="C13" s="17"/>
      <c r="D13" s="17"/>
      <c r="E13" s="17"/>
      <c r="F13" s="18"/>
      <c r="G13" s="23">
        <f>SUM(G4:G12)</f>
        <v>48428.055826086951</v>
      </c>
    </row>
    <row r="14" spans="1:18" ht="15.75" thickBot="1">
      <c r="R14">
        <f>2050-R11</f>
        <v>776.19047619047615</v>
      </c>
    </row>
    <row r="15" spans="1:18">
      <c r="A15" s="475" t="s">
        <v>103</v>
      </c>
      <c r="B15" s="470"/>
      <c r="C15" s="470"/>
      <c r="D15" s="470"/>
      <c r="E15" s="470"/>
      <c r="F15" s="470"/>
      <c r="G15" s="471"/>
      <c r="I15" s="480" t="s">
        <v>104</v>
      </c>
      <c r="J15" s="481"/>
      <c r="R15" s="5">
        <f>R14+R12</f>
        <v>1376.1904761904761</v>
      </c>
    </row>
    <row r="16" spans="1:18" ht="45">
      <c r="A16" s="12"/>
      <c r="B16" s="11" t="s">
        <v>5</v>
      </c>
      <c r="C16" s="11" t="s">
        <v>12</v>
      </c>
      <c r="D16" s="11" t="s">
        <v>19</v>
      </c>
      <c r="E16" s="11" t="s">
        <v>27</v>
      </c>
      <c r="F16" s="11" t="s">
        <v>64</v>
      </c>
      <c r="G16" s="13" t="s">
        <v>27</v>
      </c>
      <c r="I16" s="60" t="s">
        <v>70</v>
      </c>
      <c r="J16" s="61">
        <f>G17</f>
        <v>7200</v>
      </c>
    </row>
    <row r="17" spans="1:11" ht="30">
      <c r="A17" s="14" t="s">
        <v>18</v>
      </c>
      <c r="B17" s="20" t="s">
        <v>7</v>
      </c>
      <c r="C17" s="21">
        <v>1500</v>
      </c>
      <c r="D17" s="21">
        <f>APU!C15</f>
        <v>900000</v>
      </c>
      <c r="E17" s="21">
        <f>D17/C17</f>
        <v>600</v>
      </c>
      <c r="F17" s="19">
        <f>F20</f>
        <v>12</v>
      </c>
      <c r="G17" s="22">
        <f>E17*F17</f>
        <v>7200</v>
      </c>
      <c r="I17" s="7" t="s">
        <v>69</v>
      </c>
      <c r="J17" s="62">
        <f>G18+G19+G21+G25+G24</f>
        <v>5721.3688695652181</v>
      </c>
      <c r="K17" s="202">
        <f>J17+Excavacion!E24</f>
        <v>10425.398086956524</v>
      </c>
    </row>
    <row r="18" spans="1:11" ht="30">
      <c r="A18" s="14" t="s">
        <v>165</v>
      </c>
      <c r="B18" s="20" t="s">
        <v>7</v>
      </c>
      <c r="C18" s="21">
        <f>C5</f>
        <v>240</v>
      </c>
      <c r="D18" s="21">
        <f>APU!C16</f>
        <v>56000.34782608696</v>
      </c>
      <c r="E18" s="21">
        <f>D18/C18</f>
        <v>233.33478260869566</v>
      </c>
      <c r="F18" s="19">
        <f>F20</f>
        <v>12</v>
      </c>
      <c r="G18" s="22">
        <f>E18*F18</f>
        <v>2800.0173913043482</v>
      </c>
      <c r="I18" s="7"/>
      <c r="J18" s="7"/>
    </row>
    <row r="19" spans="1:11" ht="30">
      <c r="A19" s="14" t="s">
        <v>21</v>
      </c>
      <c r="B19" s="20" t="s">
        <v>7</v>
      </c>
      <c r="C19" s="21">
        <v>40</v>
      </c>
      <c r="D19" s="21">
        <f>APU!C16</f>
        <v>56000.34782608696</v>
      </c>
      <c r="E19" s="21">
        <f>D19/C19</f>
        <v>1400.0086956521741</v>
      </c>
      <c r="F19" s="19"/>
      <c r="G19" s="22">
        <f>E19</f>
        <v>1400.0086956521741</v>
      </c>
      <c r="I19" s="7" t="s">
        <v>166</v>
      </c>
      <c r="J19" s="7">
        <f>F20</f>
        <v>12</v>
      </c>
    </row>
    <row r="20" spans="1:11">
      <c r="A20" s="14" t="s">
        <v>167</v>
      </c>
      <c r="B20" s="20" t="s">
        <v>7</v>
      </c>
      <c r="C20" s="21">
        <v>1</v>
      </c>
      <c r="D20" s="21">
        <v>1</v>
      </c>
      <c r="E20" s="45">
        <f>APU!$C$3</f>
        <v>1800</v>
      </c>
      <c r="F20" s="127">
        <v>12</v>
      </c>
      <c r="G20" s="22">
        <f t="shared" ref="G20:G25" si="1">E20*F20</f>
        <v>21600</v>
      </c>
      <c r="I20" s="7" t="s">
        <v>71</v>
      </c>
      <c r="J20" s="7">
        <v>4</v>
      </c>
    </row>
    <row r="21" spans="1:11" ht="45">
      <c r="A21" s="14" t="s">
        <v>22</v>
      </c>
      <c r="B21" s="20" t="s">
        <v>7</v>
      </c>
      <c r="C21" s="21">
        <v>60</v>
      </c>
      <c r="D21" s="21">
        <f>APU!C16</f>
        <v>56000.34782608696</v>
      </c>
      <c r="E21" s="21">
        <f>D21/C21</f>
        <v>933.33913043478265</v>
      </c>
      <c r="F21" s="19">
        <v>1</v>
      </c>
      <c r="G21" s="22">
        <f t="shared" si="1"/>
        <v>933.33913043478265</v>
      </c>
    </row>
    <row r="22" spans="1:11" ht="30">
      <c r="A22" s="14" t="s">
        <v>171</v>
      </c>
      <c r="B22" s="20" t="s">
        <v>5</v>
      </c>
      <c r="C22" s="21">
        <v>1</v>
      </c>
      <c r="D22" s="21">
        <v>1</v>
      </c>
      <c r="E22" s="21">
        <f>APU!$C$6</f>
        <v>400</v>
      </c>
      <c r="F22" s="19">
        <v>2</v>
      </c>
      <c r="G22" s="22">
        <f t="shared" si="1"/>
        <v>800</v>
      </c>
    </row>
    <row r="23" spans="1:11">
      <c r="A23" s="14" t="s">
        <v>85</v>
      </c>
      <c r="B23" s="20" t="s">
        <v>47</v>
      </c>
      <c r="C23" s="76" t="s">
        <v>86</v>
      </c>
      <c r="D23" s="76" t="s">
        <v>86</v>
      </c>
      <c r="E23" s="76">
        <f>APU!$C$4</f>
        <v>400</v>
      </c>
      <c r="F23" s="19">
        <v>0.6</v>
      </c>
      <c r="G23" s="22">
        <f t="shared" si="1"/>
        <v>240</v>
      </c>
    </row>
    <row r="24" spans="1:11" ht="30">
      <c r="A24" s="14" t="s">
        <v>54</v>
      </c>
      <c r="B24" s="20" t="s">
        <v>7</v>
      </c>
      <c r="C24" s="21">
        <f>20*40</f>
        <v>800</v>
      </c>
      <c r="D24" s="21">
        <f>APU!C16</f>
        <v>56000.34782608696</v>
      </c>
      <c r="E24" s="21">
        <f>D24/C24</f>
        <v>70.000434782608693</v>
      </c>
      <c r="F24" s="19">
        <v>2</v>
      </c>
      <c r="G24" s="22">
        <f t="shared" si="1"/>
        <v>140.00086956521739</v>
      </c>
    </row>
    <row r="25" spans="1:11" ht="30">
      <c r="A25" s="14" t="s">
        <v>62</v>
      </c>
      <c r="B25" s="20" t="s">
        <v>5</v>
      </c>
      <c r="C25" s="21">
        <v>250</v>
      </c>
      <c r="D25" s="21">
        <f>APU!C16</f>
        <v>56000.34782608696</v>
      </c>
      <c r="E25" s="21">
        <f>D25/C25</f>
        <v>224.00139130434783</v>
      </c>
      <c r="F25" s="19">
        <v>2</v>
      </c>
      <c r="G25" s="22">
        <f t="shared" si="1"/>
        <v>448.00278260869567</v>
      </c>
    </row>
    <row r="26" spans="1:11" ht="15.75" thickBot="1">
      <c r="A26" s="15" t="s">
        <v>23</v>
      </c>
      <c r="B26" s="16"/>
      <c r="C26" s="17"/>
      <c r="D26" s="17"/>
      <c r="E26" s="17"/>
      <c r="F26" s="18"/>
      <c r="G26" s="23">
        <f>SUM(G17:G25)</f>
        <v>35561.368869565216</v>
      </c>
    </row>
    <row r="27" spans="1:11" ht="15.75" thickBot="1">
      <c r="A27" s="3"/>
      <c r="C27" s="75"/>
    </row>
    <row r="28" spans="1:11">
      <c r="A28" s="476" t="s">
        <v>110</v>
      </c>
      <c r="B28" s="477"/>
      <c r="C28" s="477"/>
      <c r="D28" s="477"/>
      <c r="E28" s="477"/>
      <c r="F28" s="477"/>
      <c r="G28" s="478"/>
      <c r="I28" s="479" t="s">
        <v>73</v>
      </c>
      <c r="J28" s="479"/>
    </row>
    <row r="29" spans="1:11" ht="32.25" customHeight="1">
      <c r="A29" s="12"/>
      <c r="B29" s="11" t="s">
        <v>5</v>
      </c>
      <c r="C29" s="11" t="s">
        <v>12</v>
      </c>
      <c r="D29" s="11" t="s">
        <v>19</v>
      </c>
      <c r="E29" s="11" t="s">
        <v>28</v>
      </c>
      <c r="F29" s="11" t="s">
        <v>29</v>
      </c>
      <c r="G29" s="13" t="s">
        <v>27</v>
      </c>
      <c r="I29" s="60" t="s">
        <v>70</v>
      </c>
      <c r="J29" s="61">
        <f>G31</f>
        <v>3062.5190217391305</v>
      </c>
    </row>
    <row r="30" spans="1:11" ht="33.75" customHeight="1">
      <c r="A30" s="14" t="s">
        <v>18</v>
      </c>
      <c r="B30" s="20" t="s">
        <v>7</v>
      </c>
      <c r="C30" s="21">
        <v>1500</v>
      </c>
      <c r="D30" s="21">
        <f>APU!C15</f>
        <v>900000</v>
      </c>
      <c r="E30" s="21">
        <f>D30/C30</f>
        <v>600</v>
      </c>
      <c r="F30" s="129">
        <f>F32+F33</f>
        <v>13.125</v>
      </c>
      <c r="G30" s="22">
        <f t="shared" ref="G30:G39" si="2">E30*F30</f>
        <v>7875</v>
      </c>
      <c r="I30" s="7" t="s">
        <v>69</v>
      </c>
      <c r="J30" s="62">
        <f>G31+G34+G35+G38+G39</f>
        <v>17650.609630434781</v>
      </c>
      <c r="K30" s="202">
        <f>J30+Excavacion!E32</f>
        <v>36970.729630434784</v>
      </c>
    </row>
    <row r="31" spans="1:11" ht="30">
      <c r="A31" s="14" t="s">
        <v>165</v>
      </c>
      <c r="B31" s="20" t="s">
        <v>7</v>
      </c>
      <c r="C31" s="21">
        <f>C18</f>
        <v>240</v>
      </c>
      <c r="D31" s="21">
        <f>APU!$C$16</f>
        <v>56000.34782608696</v>
      </c>
      <c r="E31" s="21">
        <f>D31/C31</f>
        <v>233.33478260869566</v>
      </c>
      <c r="F31" s="129">
        <f>F30</f>
        <v>13.125</v>
      </c>
      <c r="G31" s="22">
        <f t="shared" si="2"/>
        <v>3062.5190217391305</v>
      </c>
      <c r="I31" s="7" t="s">
        <v>172</v>
      </c>
      <c r="J31" s="7">
        <f>F32</f>
        <v>3.125</v>
      </c>
    </row>
    <row r="32" spans="1:11" ht="32.25" customHeight="1">
      <c r="A32" s="14" t="s">
        <v>168</v>
      </c>
      <c r="B32" s="20" t="s">
        <v>7</v>
      </c>
      <c r="C32" s="21">
        <v>1</v>
      </c>
      <c r="D32" s="21">
        <v>1</v>
      </c>
      <c r="E32" s="45">
        <f>APU!$C$3</f>
        <v>1800</v>
      </c>
      <c r="F32" s="129">
        <f>(100/80)*2.5</f>
        <v>3.125</v>
      </c>
      <c r="G32" s="22">
        <f t="shared" si="2"/>
        <v>5625</v>
      </c>
      <c r="I32" s="7" t="s">
        <v>169</v>
      </c>
      <c r="J32" s="7">
        <f>F33</f>
        <v>10</v>
      </c>
    </row>
    <row r="33" spans="1:11" ht="30">
      <c r="A33" s="14" t="s">
        <v>170</v>
      </c>
      <c r="B33" s="20" t="s">
        <v>7</v>
      </c>
      <c r="C33" s="21">
        <v>1</v>
      </c>
      <c r="D33" s="21">
        <v>1</v>
      </c>
      <c r="E33" s="45">
        <f>APU!$C$3</f>
        <v>1800</v>
      </c>
      <c r="F33" s="19">
        <v>10</v>
      </c>
      <c r="G33" s="22">
        <f t="shared" si="2"/>
        <v>18000</v>
      </c>
      <c r="I33" s="7" t="s">
        <v>71</v>
      </c>
      <c r="J33" s="7">
        <v>4</v>
      </c>
    </row>
    <row r="34" spans="1:11" ht="30">
      <c r="A34" s="14" t="s">
        <v>31</v>
      </c>
      <c r="B34" s="20" t="s">
        <v>7</v>
      </c>
      <c r="C34" s="21">
        <v>6</v>
      </c>
      <c r="D34" s="21">
        <f>APU!$C$16</f>
        <v>56000.34782608696</v>
      </c>
      <c r="E34" s="21">
        <f>D34/C34</f>
        <v>9333.391304347826</v>
      </c>
      <c r="F34" s="19">
        <v>1</v>
      </c>
      <c r="G34" s="22">
        <f t="shared" si="2"/>
        <v>9333.391304347826</v>
      </c>
    </row>
    <row r="35" spans="1:11" ht="36.75" customHeight="1">
      <c r="A35" s="14" t="s">
        <v>61</v>
      </c>
      <c r="B35" s="20" t="s">
        <v>7</v>
      </c>
      <c r="C35" s="21">
        <f>C34*2</f>
        <v>12</v>
      </c>
      <c r="D35" s="21">
        <f>APU!$C$16</f>
        <v>56000.34782608696</v>
      </c>
      <c r="E35" s="21">
        <f>D35/C35</f>
        <v>4666.695652173913</v>
      </c>
      <c r="F35" s="19">
        <v>1</v>
      </c>
      <c r="G35" s="22">
        <f t="shared" si="2"/>
        <v>4666.695652173913</v>
      </c>
    </row>
    <row r="36" spans="1:11">
      <c r="A36" s="14" t="s">
        <v>85</v>
      </c>
      <c r="B36" s="20" t="s">
        <v>47</v>
      </c>
      <c r="C36" s="76" t="s">
        <v>86</v>
      </c>
      <c r="D36" s="76" t="s">
        <v>86</v>
      </c>
      <c r="E36" s="76">
        <f>APU!$C$4</f>
        <v>400</v>
      </c>
      <c r="F36" s="19">
        <v>0.6</v>
      </c>
      <c r="G36" s="22">
        <f>E36*F36</f>
        <v>240</v>
      </c>
    </row>
    <row r="37" spans="1:11" ht="47.25" customHeight="1">
      <c r="A37" s="14" t="s">
        <v>171</v>
      </c>
      <c r="B37" s="20" t="s">
        <v>5</v>
      </c>
      <c r="C37" s="21">
        <v>1</v>
      </c>
      <c r="D37" s="21">
        <v>1</v>
      </c>
      <c r="E37" s="21">
        <f>APU!$C$6</f>
        <v>400</v>
      </c>
      <c r="F37" s="19">
        <v>2</v>
      </c>
      <c r="G37" s="22">
        <f>E37*F37</f>
        <v>800</v>
      </c>
      <c r="J37" s="6"/>
    </row>
    <row r="38" spans="1:11" ht="33.75" customHeight="1">
      <c r="A38" s="14" t="s">
        <v>54</v>
      </c>
      <c r="B38" s="20" t="s">
        <v>7</v>
      </c>
      <c r="C38" s="21">
        <f>20*40</f>
        <v>800</v>
      </c>
      <c r="D38" s="21">
        <f>APU!$C$16</f>
        <v>56000.34782608696</v>
      </c>
      <c r="E38" s="21">
        <f>D38/C38</f>
        <v>70.000434782608693</v>
      </c>
      <c r="F38" s="19">
        <v>2</v>
      </c>
      <c r="G38" s="22">
        <f t="shared" si="2"/>
        <v>140.00086956521739</v>
      </c>
    </row>
    <row r="39" spans="1:11" ht="30">
      <c r="A39" s="14" t="s">
        <v>62</v>
      </c>
      <c r="B39" s="20" t="s">
        <v>5</v>
      </c>
      <c r="C39" s="21">
        <v>250</v>
      </c>
      <c r="D39" s="21">
        <f>APU!$C$16</f>
        <v>56000.34782608696</v>
      </c>
      <c r="E39" s="21">
        <f>D39/C39</f>
        <v>224.00139130434783</v>
      </c>
      <c r="F39" s="19">
        <v>2</v>
      </c>
      <c r="G39" s="22">
        <f t="shared" si="2"/>
        <v>448.00278260869567</v>
      </c>
      <c r="J39" s="6"/>
    </row>
    <row r="40" spans="1:11" ht="33.75" customHeight="1" thickBot="1">
      <c r="A40" s="15" t="s">
        <v>52</v>
      </c>
      <c r="B40" s="16"/>
      <c r="C40" s="17"/>
      <c r="D40" s="17"/>
      <c r="E40" s="17"/>
      <c r="F40" s="18"/>
      <c r="G40" s="23">
        <f>SUM(G30:G39)</f>
        <v>50190.609630434774</v>
      </c>
    </row>
    <row r="41" spans="1:11">
      <c r="A41" s="475" t="s">
        <v>101</v>
      </c>
      <c r="B41" s="470"/>
      <c r="C41" s="470"/>
      <c r="D41" s="470"/>
      <c r="E41" s="470"/>
      <c r="F41" s="470"/>
      <c r="G41" s="471"/>
      <c r="I41" s="480" t="s">
        <v>108</v>
      </c>
      <c r="J41" s="481"/>
    </row>
    <row r="42" spans="1:11" ht="32.25" customHeight="1">
      <c r="A42" s="12"/>
      <c r="B42" s="11" t="s">
        <v>5</v>
      </c>
      <c r="C42" s="11" t="s">
        <v>12</v>
      </c>
      <c r="D42" s="11" t="s">
        <v>19</v>
      </c>
      <c r="E42" s="11" t="s">
        <v>28</v>
      </c>
      <c r="F42" s="11" t="s">
        <v>29</v>
      </c>
      <c r="G42" s="13" t="s">
        <v>27</v>
      </c>
      <c r="I42" s="60" t="s">
        <v>70</v>
      </c>
      <c r="J42" s="61">
        <f>G44</f>
        <v>1477.7869565217393</v>
      </c>
    </row>
    <row r="43" spans="1:11" ht="33.75" customHeight="1">
      <c r="A43" s="14" t="s">
        <v>18</v>
      </c>
      <c r="B43" s="20" t="s">
        <v>7</v>
      </c>
      <c r="C43" s="21">
        <v>1500</v>
      </c>
      <c r="D43" s="21">
        <f>APU!C15</f>
        <v>900000</v>
      </c>
      <c r="E43" s="21">
        <f>D43/C43</f>
        <v>600</v>
      </c>
      <c r="F43" s="129">
        <f>F45+F46</f>
        <v>6.3333333333333339</v>
      </c>
      <c r="G43" s="22">
        <f t="shared" ref="G43:G52" si="3">E43*F43</f>
        <v>3800.0000000000005</v>
      </c>
      <c r="I43" s="7" t="s">
        <v>69</v>
      </c>
      <c r="J43" s="62">
        <f>G44+G47+G48+G51+G52</f>
        <v>6732.4862608695657</v>
      </c>
      <c r="K43" s="202">
        <f>J43+Excavacion!E40</f>
        <v>10764.511304347827</v>
      </c>
    </row>
    <row r="44" spans="1:11" ht="30">
      <c r="A44" s="14" t="s">
        <v>165</v>
      </c>
      <c r="B44" s="20" t="s">
        <v>7</v>
      </c>
      <c r="C44" s="21">
        <f>C31</f>
        <v>240</v>
      </c>
      <c r="D44" s="21">
        <f>APU!$C$16</f>
        <v>56000.34782608696</v>
      </c>
      <c r="E44" s="21">
        <f>D44/C44</f>
        <v>233.33478260869566</v>
      </c>
      <c r="F44" s="129">
        <f>F43</f>
        <v>6.3333333333333339</v>
      </c>
      <c r="G44" s="22">
        <f t="shared" si="3"/>
        <v>1477.7869565217393</v>
      </c>
      <c r="I44" s="7" t="s">
        <v>172</v>
      </c>
      <c r="J44" s="132">
        <f>F45</f>
        <v>1.3333333333333335</v>
      </c>
    </row>
    <row r="45" spans="1:11" ht="32.25" customHeight="1">
      <c r="A45" s="14" t="s">
        <v>168</v>
      </c>
      <c r="B45" s="20" t="s">
        <v>7</v>
      </c>
      <c r="C45" s="21">
        <v>1</v>
      </c>
      <c r="D45" s="21">
        <v>1</v>
      </c>
      <c r="E45" s="45">
        <f>APU!$C$3</f>
        <v>1800</v>
      </c>
      <c r="F45" s="129">
        <f>(100/60)*0.8</f>
        <v>1.3333333333333335</v>
      </c>
      <c r="G45" s="22">
        <f t="shared" si="3"/>
        <v>2400.0000000000005</v>
      </c>
      <c r="I45" s="7" t="s">
        <v>169</v>
      </c>
      <c r="J45" s="7">
        <f>F46</f>
        <v>5</v>
      </c>
    </row>
    <row r="46" spans="1:11" ht="30">
      <c r="A46" s="14" t="s">
        <v>170</v>
      </c>
      <c r="B46" s="20" t="s">
        <v>7</v>
      </c>
      <c r="C46" s="21">
        <v>1</v>
      </c>
      <c r="D46" s="21">
        <v>1</v>
      </c>
      <c r="E46" s="45">
        <f>APU!$C$3</f>
        <v>1800</v>
      </c>
      <c r="F46" s="19">
        <v>5</v>
      </c>
      <c r="G46" s="22">
        <f>E46*F46</f>
        <v>9000</v>
      </c>
      <c r="I46" s="7" t="s">
        <v>71</v>
      </c>
      <c r="J46" s="7">
        <v>4</v>
      </c>
    </row>
    <row r="47" spans="1:11" ht="30">
      <c r="A47" s="14" t="s">
        <v>31</v>
      </c>
      <c r="B47" s="20" t="s">
        <v>7</v>
      </c>
      <c r="C47" s="21">
        <v>20</v>
      </c>
      <c r="D47" s="21">
        <f>APU!$C$16</f>
        <v>56000.34782608696</v>
      </c>
      <c r="E47" s="21">
        <f>D47/C47</f>
        <v>2800.0173913043482</v>
      </c>
      <c r="F47" s="19">
        <v>1</v>
      </c>
      <c r="G47" s="22">
        <f t="shared" si="3"/>
        <v>2800.0173913043482</v>
      </c>
    </row>
    <row r="48" spans="1:11" ht="36.75" customHeight="1">
      <c r="A48" s="14" t="s">
        <v>61</v>
      </c>
      <c r="B48" s="20" t="s">
        <v>7</v>
      </c>
      <c r="C48" s="21">
        <v>30</v>
      </c>
      <c r="D48" s="21">
        <f>APU!$C$16</f>
        <v>56000.34782608696</v>
      </c>
      <c r="E48" s="21">
        <f>D48/C48</f>
        <v>1866.6782608695653</v>
      </c>
      <c r="F48" s="19">
        <v>1</v>
      </c>
      <c r="G48" s="22">
        <f t="shared" si="3"/>
        <v>1866.6782608695653</v>
      </c>
    </row>
    <row r="49" spans="1:11">
      <c r="A49" s="14" t="s">
        <v>85</v>
      </c>
      <c r="B49" s="20" t="s">
        <v>47</v>
      </c>
      <c r="C49" s="76" t="s">
        <v>86</v>
      </c>
      <c r="D49" s="76" t="s">
        <v>86</v>
      </c>
      <c r="E49" s="76">
        <f>APU!$C$4</f>
        <v>400</v>
      </c>
      <c r="F49" s="19">
        <v>0.6</v>
      </c>
      <c r="G49" s="22">
        <f>E49*F49</f>
        <v>240</v>
      </c>
    </row>
    <row r="50" spans="1:11" ht="47.25" customHeight="1">
      <c r="A50" s="14" t="s">
        <v>171</v>
      </c>
      <c r="B50" s="20" t="s">
        <v>5</v>
      </c>
      <c r="C50" s="21">
        <v>1</v>
      </c>
      <c r="D50" s="21">
        <v>1</v>
      </c>
      <c r="E50" s="21">
        <f>APU!$C$6</f>
        <v>400</v>
      </c>
      <c r="F50" s="19">
        <v>2</v>
      </c>
      <c r="G50" s="22">
        <f>E50*F50</f>
        <v>800</v>
      </c>
      <c r="J50" s="6"/>
    </row>
    <row r="51" spans="1:11" ht="33.75" customHeight="1">
      <c r="A51" s="14" t="s">
        <v>54</v>
      </c>
      <c r="B51" s="20" t="s">
        <v>7</v>
      </c>
      <c r="C51" s="21">
        <f>20*40</f>
        <v>800</v>
      </c>
      <c r="D51" s="21">
        <f>APU!$C$16</f>
        <v>56000.34782608696</v>
      </c>
      <c r="E51" s="21">
        <f>D51/C51</f>
        <v>70.000434782608693</v>
      </c>
      <c r="F51" s="19">
        <v>2</v>
      </c>
      <c r="G51" s="22">
        <f>E51*F51</f>
        <v>140.00086956521739</v>
      </c>
    </row>
    <row r="52" spans="1:11" ht="30">
      <c r="A52" s="14" t="s">
        <v>62</v>
      </c>
      <c r="B52" s="20" t="s">
        <v>5</v>
      </c>
      <c r="C52" s="21">
        <v>250</v>
      </c>
      <c r="D52" s="21">
        <f>APU!$C$16</f>
        <v>56000.34782608696</v>
      </c>
      <c r="E52" s="21">
        <f>D52/C52</f>
        <v>224.00139130434783</v>
      </c>
      <c r="F52" s="19">
        <v>2</v>
      </c>
      <c r="G52" s="22">
        <f t="shared" si="3"/>
        <v>448.00278260869567</v>
      </c>
      <c r="J52" s="6"/>
    </row>
    <row r="53" spans="1:11" ht="33.75" customHeight="1" thickBot="1">
      <c r="A53" s="15" t="s">
        <v>52</v>
      </c>
      <c r="B53" s="16"/>
      <c r="C53" s="17"/>
      <c r="D53" s="17"/>
      <c r="E53" s="17"/>
      <c r="F53" s="18"/>
      <c r="G53" s="23">
        <f>SUM(G43:G52)</f>
        <v>22972.486260869566</v>
      </c>
    </row>
    <row r="54" spans="1:11" ht="16.5" customHeight="1"/>
    <row r="55" spans="1:11" ht="15.75" thickBot="1"/>
    <row r="56" spans="1:11">
      <c r="A56" s="464" t="s">
        <v>24</v>
      </c>
      <c r="B56" s="465"/>
      <c r="C56" s="465"/>
      <c r="D56" s="465"/>
      <c r="E56" s="465"/>
      <c r="F56" s="465"/>
      <c r="G56" s="466"/>
      <c r="I56" s="479" t="s">
        <v>74</v>
      </c>
      <c r="J56" s="479"/>
    </row>
    <row r="57" spans="1:11" ht="31.5" customHeight="1">
      <c r="A57" s="12"/>
      <c r="B57" s="11" t="s">
        <v>5</v>
      </c>
      <c r="C57" s="11" t="s">
        <v>12</v>
      </c>
      <c r="D57" s="11" t="s">
        <v>19</v>
      </c>
      <c r="E57" s="11" t="s">
        <v>28</v>
      </c>
      <c r="F57" s="11" t="s">
        <v>29</v>
      </c>
      <c r="G57" s="13" t="s">
        <v>27</v>
      </c>
      <c r="I57" s="60" t="s">
        <v>70</v>
      </c>
      <c r="J57" s="61">
        <f>G58</f>
        <v>7114.2857142857147</v>
      </c>
    </row>
    <row r="58" spans="1:11" ht="30">
      <c r="A58" s="14" t="s">
        <v>98</v>
      </c>
      <c r="B58" s="20" t="s">
        <v>7</v>
      </c>
      <c r="C58" s="21">
        <v>1500</v>
      </c>
      <c r="D58" s="21">
        <f>APU!C15</f>
        <v>900000</v>
      </c>
      <c r="E58" s="21">
        <f>D58/C58</f>
        <v>600</v>
      </c>
      <c r="F58" s="129">
        <f>F62+F61</f>
        <v>11.857142857142858</v>
      </c>
      <c r="G58" s="22">
        <f t="shared" ref="G58:G67" si="4">E58*F58</f>
        <v>7114.2857142857147</v>
      </c>
      <c r="I58" s="7" t="s">
        <v>69</v>
      </c>
      <c r="J58" s="130">
        <f>G59+G60+G66+G63+G67</f>
        <v>15021.426633540374</v>
      </c>
      <c r="K58" s="203">
        <f>J58+Excavacion!E48</f>
        <v>19501.45445962733</v>
      </c>
    </row>
    <row r="59" spans="1:11" ht="30">
      <c r="A59" s="14" t="s">
        <v>165</v>
      </c>
      <c r="B59" s="20" t="s">
        <v>7</v>
      </c>
      <c r="C59" s="21">
        <f>C44</f>
        <v>240</v>
      </c>
      <c r="D59" s="21">
        <f>APU!$C$16</f>
        <v>56000.34782608696</v>
      </c>
      <c r="E59" s="21">
        <f>D59/C59</f>
        <v>233.33478260869566</v>
      </c>
      <c r="F59" s="129">
        <f>F58</f>
        <v>11.857142857142858</v>
      </c>
      <c r="G59" s="22">
        <f t="shared" si="4"/>
        <v>2766.6838509316772</v>
      </c>
      <c r="I59" s="7" t="s">
        <v>172</v>
      </c>
      <c r="J59" s="131">
        <f>F61</f>
        <v>2.8571428571428572</v>
      </c>
    </row>
    <row r="60" spans="1:11" ht="30">
      <c r="A60" s="14" t="s">
        <v>30</v>
      </c>
      <c r="B60" s="20" t="s">
        <v>7</v>
      </c>
      <c r="C60" s="21">
        <v>8</v>
      </c>
      <c r="D60" s="21">
        <f>APU!$C$16</f>
        <v>56000.34782608696</v>
      </c>
      <c r="E60" s="21">
        <f>D60/C60</f>
        <v>7000.04347826087</v>
      </c>
      <c r="F60" s="19">
        <v>1</v>
      </c>
      <c r="G60" s="22">
        <f t="shared" si="4"/>
        <v>7000.04347826087</v>
      </c>
      <c r="I60" s="7" t="s">
        <v>169</v>
      </c>
      <c r="J60" s="7">
        <f>F62</f>
        <v>9</v>
      </c>
    </row>
    <row r="61" spans="1:11" ht="30">
      <c r="A61" s="14" t="s">
        <v>168</v>
      </c>
      <c r="B61" s="20" t="s">
        <v>7</v>
      </c>
      <c r="C61" s="21">
        <v>1</v>
      </c>
      <c r="D61" s="21">
        <v>1</v>
      </c>
      <c r="E61" s="45">
        <f>APU!$C$3</f>
        <v>1800</v>
      </c>
      <c r="F61" s="129">
        <f>(100/70)*2</f>
        <v>2.8571428571428572</v>
      </c>
      <c r="G61" s="22">
        <f t="shared" si="4"/>
        <v>5142.8571428571431</v>
      </c>
      <c r="I61" s="7" t="s">
        <v>71</v>
      </c>
      <c r="J61" s="7">
        <v>4</v>
      </c>
    </row>
    <row r="62" spans="1:11" ht="30">
      <c r="A62" s="14" t="s">
        <v>170</v>
      </c>
      <c r="B62" s="20" t="s">
        <v>7</v>
      </c>
      <c r="C62" s="21">
        <v>1</v>
      </c>
      <c r="D62" s="21">
        <v>1</v>
      </c>
      <c r="E62" s="45">
        <f>APU!$C$3</f>
        <v>1800</v>
      </c>
      <c r="F62" s="19">
        <v>9</v>
      </c>
      <c r="G62" s="22">
        <f t="shared" si="4"/>
        <v>16200</v>
      </c>
    </row>
    <row r="63" spans="1:11" ht="30">
      <c r="A63" s="14" t="s">
        <v>25</v>
      </c>
      <c r="B63" s="20" t="s">
        <v>7</v>
      </c>
      <c r="C63" s="21">
        <f>C60*1.5</f>
        <v>12</v>
      </c>
      <c r="D63" s="21">
        <f>APU!$C$16</f>
        <v>56000.34782608696</v>
      </c>
      <c r="E63" s="21">
        <f>D63/C63</f>
        <v>4666.695652173913</v>
      </c>
      <c r="F63" s="19">
        <v>1</v>
      </c>
      <c r="G63" s="22">
        <f t="shared" si="4"/>
        <v>4666.695652173913</v>
      </c>
      <c r="J63">
        <f>100/60</f>
        <v>1.6666666666666667</v>
      </c>
    </row>
    <row r="64" spans="1:11">
      <c r="A64" s="14" t="s">
        <v>85</v>
      </c>
      <c r="B64" s="20" t="s">
        <v>47</v>
      </c>
      <c r="C64" s="76" t="s">
        <v>86</v>
      </c>
      <c r="D64" s="76" t="s">
        <v>86</v>
      </c>
      <c r="E64" s="76">
        <f>APU!$C$4</f>
        <v>400</v>
      </c>
      <c r="F64" s="19">
        <v>0.6</v>
      </c>
      <c r="G64" s="22">
        <f>E64*F64</f>
        <v>240</v>
      </c>
    </row>
    <row r="65" spans="1:11" ht="47.25" customHeight="1">
      <c r="A65" s="14" t="s">
        <v>171</v>
      </c>
      <c r="B65" s="20" t="s">
        <v>5</v>
      </c>
      <c r="C65" s="21">
        <v>1</v>
      </c>
      <c r="D65" s="21">
        <v>1</v>
      </c>
      <c r="E65" s="21">
        <f>APU!$C$6</f>
        <v>400</v>
      </c>
      <c r="F65" s="19">
        <v>2</v>
      </c>
      <c r="G65" s="22">
        <f t="shared" si="4"/>
        <v>800</v>
      </c>
      <c r="J65">
        <v>2.5</v>
      </c>
    </row>
    <row r="66" spans="1:11" ht="30">
      <c r="A66" s="14" t="s">
        <v>54</v>
      </c>
      <c r="B66" s="20" t="s">
        <v>7</v>
      </c>
      <c r="C66" s="21">
        <f>20*40</f>
        <v>800</v>
      </c>
      <c r="D66" s="21">
        <f>APU!$C$16</f>
        <v>56000.34782608696</v>
      </c>
      <c r="E66" s="21">
        <f>D66/C66</f>
        <v>70.000434782608693</v>
      </c>
      <c r="F66" s="19">
        <v>2</v>
      </c>
      <c r="G66" s="22">
        <f>E66*F66</f>
        <v>140.00086956521739</v>
      </c>
    </row>
    <row r="67" spans="1:11" ht="30">
      <c r="A67" s="14" t="s">
        <v>62</v>
      </c>
      <c r="B67" s="20" t="s">
        <v>5</v>
      </c>
      <c r="C67" s="21">
        <v>250</v>
      </c>
      <c r="D67" s="21">
        <f>APU!$C$16</f>
        <v>56000.34782608696</v>
      </c>
      <c r="E67" s="21">
        <f>D67/C67</f>
        <v>224.00139130434783</v>
      </c>
      <c r="F67" s="19">
        <v>2</v>
      </c>
      <c r="G67" s="22">
        <f t="shared" si="4"/>
        <v>448.00278260869567</v>
      </c>
      <c r="J67">
        <f>J63*J65</f>
        <v>4.166666666666667</v>
      </c>
    </row>
    <row r="68" spans="1:11" ht="33.75" customHeight="1" thickBot="1">
      <c r="A68" s="15" t="s">
        <v>26</v>
      </c>
      <c r="B68" s="16"/>
      <c r="C68" s="17"/>
      <c r="D68" s="17"/>
      <c r="E68" s="17"/>
      <c r="F68" s="18"/>
      <c r="G68" s="23">
        <f>SUM(G58:G67)</f>
        <v>44518.569490683229</v>
      </c>
    </row>
    <row r="69" spans="1:11">
      <c r="K69" s="5"/>
    </row>
  </sheetData>
  <mergeCells count="10">
    <mergeCell ref="A41:G41"/>
    <mergeCell ref="A56:G56"/>
    <mergeCell ref="A28:G28"/>
    <mergeCell ref="I28:J28"/>
    <mergeCell ref="I2:J2"/>
    <mergeCell ref="I41:J41"/>
    <mergeCell ref="I56:J56"/>
    <mergeCell ref="A15:G15"/>
    <mergeCell ref="I15:J15"/>
    <mergeCell ref="A2:G2"/>
  </mergeCells>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J18"/>
  <sheetViews>
    <sheetView zoomScale="85" zoomScaleNormal="85" workbookViewId="0">
      <selection activeCell="K17" sqref="K17"/>
    </sheetView>
  </sheetViews>
  <sheetFormatPr baseColWidth="10" defaultRowHeight="15"/>
  <cols>
    <col min="1" max="1" width="23" customWidth="1"/>
    <col min="2" max="2" width="13.42578125" customWidth="1"/>
    <col min="3" max="3" width="14.85546875" customWidth="1"/>
    <col min="4" max="4" width="15.28515625" bestFit="1" customWidth="1"/>
    <col min="5" max="5" width="8.5703125" bestFit="1" customWidth="1"/>
    <col min="6" max="6" width="9.7109375" customWidth="1"/>
    <col min="7" max="7" width="15.85546875" customWidth="1"/>
    <col min="10" max="10" width="18.5703125" customWidth="1"/>
    <col min="11" max="11" width="13.5703125" customWidth="1"/>
  </cols>
  <sheetData>
    <row r="1" spans="1:10" ht="15.75" thickBot="1"/>
    <row r="2" spans="1:10">
      <c r="A2" s="458" t="s">
        <v>284</v>
      </c>
      <c r="B2" s="459"/>
      <c r="C2" s="459"/>
      <c r="D2" s="459"/>
      <c r="E2" s="459"/>
      <c r="F2" s="459"/>
      <c r="G2" s="460"/>
    </row>
    <row r="3" spans="1:10" ht="33" customHeight="1">
      <c r="A3" s="12"/>
      <c r="B3" s="11" t="s">
        <v>5</v>
      </c>
      <c r="C3" s="11" t="s">
        <v>12</v>
      </c>
      <c r="D3" s="11" t="s">
        <v>50</v>
      </c>
      <c r="E3" s="11" t="s">
        <v>49</v>
      </c>
      <c r="F3" s="11" t="s">
        <v>29</v>
      </c>
      <c r="G3" s="13" t="s">
        <v>59</v>
      </c>
      <c r="J3" s="6"/>
    </row>
    <row r="4" spans="1:10" ht="38.25" customHeight="1">
      <c r="A4" s="14" t="s">
        <v>20</v>
      </c>
      <c r="B4" s="11" t="s">
        <v>158</v>
      </c>
      <c r="C4" s="205">
        <v>60</v>
      </c>
      <c r="D4" s="205">
        <f>APU!B52</f>
        <v>56000.34782608696</v>
      </c>
      <c r="E4" s="205">
        <f>D4/C4</f>
        <v>933.33913043478265</v>
      </c>
      <c r="F4" s="19">
        <v>1</v>
      </c>
      <c r="G4" s="22">
        <f>E4*F4</f>
        <v>933.33913043478265</v>
      </c>
    </row>
    <row r="5" spans="1:10" ht="41.25" customHeight="1">
      <c r="A5" s="14" t="s">
        <v>48</v>
      </c>
      <c r="B5" s="20" t="s">
        <v>7</v>
      </c>
      <c r="C5" s="205">
        <v>150</v>
      </c>
      <c r="D5" s="205">
        <f>APU!B52</f>
        <v>56000.34782608696</v>
      </c>
      <c r="E5" s="205">
        <f>D5/C5</f>
        <v>373.33565217391305</v>
      </c>
      <c r="F5" s="19">
        <v>1</v>
      </c>
      <c r="G5" s="22">
        <f>E5</f>
        <v>373.33565217391305</v>
      </c>
    </row>
    <row r="6" spans="1:10" ht="26.25" customHeight="1">
      <c r="A6" s="14" t="s">
        <v>85</v>
      </c>
      <c r="B6" s="20" t="s">
        <v>47</v>
      </c>
      <c r="C6" s="205" t="s">
        <v>86</v>
      </c>
      <c r="D6" s="205"/>
      <c r="E6" s="205">
        <f>APU!C4</f>
        <v>400</v>
      </c>
      <c r="F6" s="19">
        <v>0.5</v>
      </c>
      <c r="G6" s="22">
        <f>E6*F6</f>
        <v>200</v>
      </c>
    </row>
    <row r="7" spans="1:10" ht="34.5" customHeight="1">
      <c r="A7" s="14" t="s">
        <v>257</v>
      </c>
      <c r="B7" s="20" t="s">
        <v>7</v>
      </c>
      <c r="C7" s="205"/>
      <c r="D7" s="205"/>
      <c r="E7" s="205">
        <f>APU!C5</f>
        <v>2400</v>
      </c>
      <c r="F7" s="19">
        <v>1</v>
      </c>
      <c r="G7" s="22">
        <f>E7*F7</f>
        <v>2400</v>
      </c>
    </row>
    <row r="8" spans="1:10" ht="30" customHeight="1" thickBot="1">
      <c r="A8" s="36" t="s">
        <v>51</v>
      </c>
      <c r="B8" s="16"/>
      <c r="C8" s="17"/>
      <c r="D8" s="17"/>
      <c r="E8" s="17"/>
      <c r="F8" s="18"/>
      <c r="G8" s="23">
        <f>SUM(G4:G7)</f>
        <v>3906.6747826086958</v>
      </c>
    </row>
    <row r="9" spans="1:10">
      <c r="A9" s="3"/>
    </row>
    <row r="10" spans="1:10" ht="15.75" thickBot="1">
      <c r="B10" s="6"/>
      <c r="C10" s="6"/>
      <c r="D10" s="6"/>
      <c r="E10" s="6"/>
      <c r="G10" s="43"/>
    </row>
    <row r="11" spans="1:10">
      <c r="A11" s="458" t="s">
        <v>314</v>
      </c>
      <c r="B11" s="459"/>
      <c r="C11" s="459"/>
      <c r="D11" s="459"/>
      <c r="E11" s="459"/>
      <c r="F11" s="459"/>
      <c r="G11" s="460"/>
    </row>
    <row r="12" spans="1:10" ht="45">
      <c r="A12" s="12"/>
      <c r="B12" s="11" t="s">
        <v>5</v>
      </c>
      <c r="C12" s="11" t="s">
        <v>12</v>
      </c>
      <c r="D12" s="11" t="s">
        <v>50</v>
      </c>
      <c r="E12" s="11" t="s">
        <v>49</v>
      </c>
      <c r="F12" s="11" t="s">
        <v>29</v>
      </c>
      <c r="G12" s="13" t="s">
        <v>59</v>
      </c>
    </row>
    <row r="13" spans="1:10" ht="30">
      <c r="A13" s="14" t="s">
        <v>20</v>
      </c>
      <c r="B13" s="11" t="s">
        <v>285</v>
      </c>
      <c r="C13" s="205">
        <v>80</v>
      </c>
      <c r="D13" s="205">
        <f>APU!B61</f>
        <v>64974</v>
      </c>
      <c r="E13" s="205">
        <f>D13/C13</f>
        <v>812.17499999999995</v>
      </c>
      <c r="F13" s="19">
        <v>1</v>
      </c>
      <c r="G13" s="22">
        <f>E13*F13</f>
        <v>812.17499999999995</v>
      </c>
    </row>
    <row r="14" spans="1:10" ht="30">
      <c r="A14" s="14" t="s">
        <v>287</v>
      </c>
      <c r="B14" s="20" t="s">
        <v>285</v>
      </c>
      <c r="C14" s="205">
        <v>60</v>
      </c>
      <c r="D14" s="205">
        <f>APU!B61</f>
        <v>64974</v>
      </c>
      <c r="E14" s="205">
        <f>D14/C14</f>
        <v>1082.9000000000001</v>
      </c>
      <c r="F14" s="19">
        <v>1</v>
      </c>
      <c r="G14" s="22">
        <f>E14</f>
        <v>1082.9000000000001</v>
      </c>
    </row>
    <row r="15" spans="1:10">
      <c r="A15" s="14" t="s">
        <v>85</v>
      </c>
      <c r="B15" s="20" t="s">
        <v>47</v>
      </c>
      <c r="C15" s="205" t="s">
        <v>86</v>
      </c>
      <c r="D15" s="205"/>
      <c r="E15" s="205">
        <v>400</v>
      </c>
      <c r="F15" s="19">
        <v>0.5</v>
      </c>
      <c r="G15" s="22">
        <f>E15*F15</f>
        <v>200</v>
      </c>
    </row>
    <row r="16" spans="1:10">
      <c r="A16" s="14" t="s">
        <v>286</v>
      </c>
      <c r="B16" s="20" t="s">
        <v>285</v>
      </c>
      <c r="C16" s="205"/>
      <c r="D16" s="205"/>
      <c r="E16" s="205">
        <v>2500</v>
      </c>
      <c r="F16" s="19">
        <v>1</v>
      </c>
      <c r="G16" s="22">
        <f>E16*F16</f>
        <v>2500</v>
      </c>
    </row>
    <row r="17" spans="1:7" ht="30.75" thickBot="1">
      <c r="A17" s="36" t="s">
        <v>51</v>
      </c>
      <c r="B17" s="16"/>
      <c r="C17" s="17"/>
      <c r="D17" s="17"/>
      <c r="E17" s="17"/>
      <c r="F17" s="18"/>
      <c r="G17" s="23">
        <f>SUM(G13:G16)</f>
        <v>4595.0749999999998</v>
      </c>
    </row>
    <row r="18" spans="1:7">
      <c r="E18" s="201"/>
      <c r="F18" s="201"/>
      <c r="G18" s="201"/>
    </row>
  </sheetData>
  <mergeCells count="2">
    <mergeCell ref="A2:G2"/>
    <mergeCell ref="A11:G11"/>
  </mergeCells>
  <phoneticPr fontId="9"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A1:J23"/>
  <sheetViews>
    <sheetView zoomScale="85" zoomScaleNormal="85" workbookViewId="0">
      <selection activeCell="E12" sqref="E12"/>
    </sheetView>
  </sheetViews>
  <sheetFormatPr baseColWidth="10" defaultRowHeight="15"/>
  <cols>
    <col min="1" max="1" width="23" customWidth="1"/>
    <col min="2" max="2" width="13.42578125" customWidth="1"/>
    <col min="3" max="3" width="14.85546875" customWidth="1"/>
    <col min="4" max="4" width="15.28515625" bestFit="1" customWidth="1"/>
    <col min="5" max="5" width="11.140625" customWidth="1"/>
    <col min="6" max="6" width="19.28515625" customWidth="1"/>
    <col min="7" max="7" width="15.85546875" customWidth="1"/>
    <col min="10" max="10" width="18.5703125" customWidth="1"/>
    <col min="11" max="11" width="13.5703125" customWidth="1"/>
  </cols>
  <sheetData>
    <row r="1" spans="1:10" ht="15.75" thickBot="1"/>
    <row r="2" spans="1:10">
      <c r="A2" s="458" t="s">
        <v>46</v>
      </c>
      <c r="B2" s="459"/>
      <c r="C2" s="459"/>
      <c r="D2" s="459"/>
      <c r="E2" s="459"/>
      <c r="F2" s="459"/>
      <c r="G2" s="460"/>
    </row>
    <row r="3" spans="1:10" ht="33" customHeight="1">
      <c r="A3" s="12"/>
      <c r="B3" s="11" t="s">
        <v>5</v>
      </c>
      <c r="C3" s="11" t="s">
        <v>12</v>
      </c>
      <c r="D3" s="11" t="s">
        <v>50</v>
      </c>
      <c r="E3" s="11" t="s">
        <v>49</v>
      </c>
      <c r="F3" s="11" t="s">
        <v>211</v>
      </c>
      <c r="G3" s="13" t="s">
        <v>59</v>
      </c>
      <c r="J3" s="6"/>
    </row>
    <row r="4" spans="1:10" ht="38.25" customHeight="1">
      <c r="A4" s="14" t="s">
        <v>224</v>
      </c>
      <c r="B4" s="11" t="s">
        <v>205</v>
      </c>
      <c r="C4" s="205">
        <v>300</v>
      </c>
      <c r="D4" s="205">
        <f>APU!C15</f>
        <v>900000</v>
      </c>
      <c r="E4" s="205">
        <f>D4/C4</f>
        <v>3000</v>
      </c>
      <c r="F4" s="19">
        <v>33</v>
      </c>
      <c r="G4" s="22">
        <f t="shared" ref="G4:G12" si="0">E4*F4</f>
        <v>99000</v>
      </c>
    </row>
    <row r="5" spans="1:10" ht="38.25" customHeight="1">
      <c r="A5" s="14" t="s">
        <v>20</v>
      </c>
      <c r="B5" s="11" t="s">
        <v>205</v>
      </c>
      <c r="C5" s="205">
        <v>30</v>
      </c>
      <c r="D5" s="205">
        <f>APU!B52</f>
        <v>56000.34782608696</v>
      </c>
      <c r="E5" s="205">
        <f>D5/C5</f>
        <v>1866.6782608695653</v>
      </c>
      <c r="F5" s="19">
        <v>33</v>
      </c>
      <c r="G5" s="22">
        <f t="shared" si="0"/>
        <v>61600.382608695654</v>
      </c>
    </row>
    <row r="6" spans="1:10" ht="41.25" customHeight="1">
      <c r="A6" s="14" t="s">
        <v>206</v>
      </c>
      <c r="B6" s="20" t="s">
        <v>78</v>
      </c>
      <c r="C6" s="205">
        <v>100</v>
      </c>
      <c r="D6" s="205">
        <f>APU!B52</f>
        <v>56000.34782608696</v>
      </c>
      <c r="E6" s="205">
        <f>D6/C6</f>
        <v>560.00347826086954</v>
      </c>
      <c r="F6" s="19">
        <v>33</v>
      </c>
      <c r="G6" s="22">
        <f t="shared" si="0"/>
        <v>18480.114782608696</v>
      </c>
    </row>
    <row r="7" spans="1:10" ht="26.25" customHeight="1">
      <c r="A7" s="14" t="s">
        <v>207</v>
      </c>
      <c r="B7" s="20" t="s">
        <v>205</v>
      </c>
      <c r="C7" s="205">
        <v>60</v>
      </c>
      <c r="D7" s="205">
        <f>D6</f>
        <v>56000.34782608696</v>
      </c>
      <c r="E7" s="205">
        <f>D7/C7</f>
        <v>933.33913043478265</v>
      </c>
      <c r="F7" s="19">
        <v>33</v>
      </c>
      <c r="G7" s="22">
        <f t="shared" si="0"/>
        <v>30800.191304347827</v>
      </c>
    </row>
    <row r="8" spans="1:10" ht="60" customHeight="1">
      <c r="A8" s="14" t="s">
        <v>212</v>
      </c>
      <c r="B8" s="20" t="s">
        <v>205</v>
      </c>
      <c r="C8" s="205"/>
      <c r="D8" s="205"/>
      <c r="E8" s="205">
        <f>APU!C8</f>
        <v>16000</v>
      </c>
      <c r="F8" s="19">
        <v>33</v>
      </c>
      <c r="G8" s="22">
        <f t="shared" si="0"/>
        <v>528000</v>
      </c>
    </row>
    <row r="9" spans="1:10" ht="20.25" customHeight="1">
      <c r="A9" s="14" t="s">
        <v>214</v>
      </c>
      <c r="B9" s="20" t="s">
        <v>213</v>
      </c>
      <c r="C9" s="205">
        <v>400</v>
      </c>
      <c r="D9" s="205">
        <f>APU!C9</f>
        <v>170000</v>
      </c>
      <c r="E9" s="205">
        <f>D9/C9</f>
        <v>425</v>
      </c>
      <c r="F9" s="19">
        <v>400</v>
      </c>
      <c r="G9" s="22">
        <f t="shared" si="0"/>
        <v>170000</v>
      </c>
    </row>
    <row r="10" spans="1:10" ht="20.25" customHeight="1">
      <c r="A10" s="14" t="s">
        <v>209</v>
      </c>
      <c r="B10" s="20" t="s">
        <v>47</v>
      </c>
      <c r="C10" s="205"/>
      <c r="D10" s="205"/>
      <c r="E10" s="205">
        <f>APU!C10</f>
        <v>8000</v>
      </c>
      <c r="F10" s="19">
        <v>2</v>
      </c>
      <c r="G10" s="22">
        <f t="shared" si="0"/>
        <v>16000</v>
      </c>
    </row>
    <row r="11" spans="1:10" ht="20.25" customHeight="1">
      <c r="A11" s="14" t="s">
        <v>210</v>
      </c>
      <c r="B11" s="20" t="s">
        <v>216</v>
      </c>
      <c r="C11" s="205"/>
      <c r="D11" s="205"/>
      <c r="E11" s="205">
        <f>APU!C11</f>
        <v>7000</v>
      </c>
      <c r="F11" s="19">
        <v>2</v>
      </c>
      <c r="G11" s="22">
        <f t="shared" si="0"/>
        <v>14000</v>
      </c>
    </row>
    <row r="12" spans="1:10" ht="20.25" customHeight="1">
      <c r="A12" s="14" t="s">
        <v>215</v>
      </c>
      <c r="B12" s="20" t="s">
        <v>7</v>
      </c>
      <c r="C12" s="205">
        <v>25</v>
      </c>
      <c r="D12" s="205">
        <f>D7</f>
        <v>56000.34782608696</v>
      </c>
      <c r="E12" s="205">
        <f>D12/C12</f>
        <v>2240.0139130434782</v>
      </c>
      <c r="F12" s="19">
        <v>100</v>
      </c>
      <c r="G12" s="22">
        <f t="shared" si="0"/>
        <v>224001.39130434781</v>
      </c>
    </row>
    <row r="13" spans="1:10" ht="30" customHeight="1" thickBot="1">
      <c r="A13" s="36" t="s">
        <v>208</v>
      </c>
      <c r="B13" s="16"/>
      <c r="C13" s="17"/>
      <c r="D13" s="17"/>
      <c r="E13" s="17"/>
      <c r="F13" s="18"/>
      <c r="G13" s="23">
        <f>SUM(G4:G12)</f>
        <v>1161882.08</v>
      </c>
    </row>
    <row r="14" spans="1:10">
      <c r="A14" s="3"/>
    </row>
    <row r="15" spans="1:10">
      <c r="B15" s="6"/>
      <c r="C15" s="6" t="s">
        <v>222</v>
      </c>
      <c r="D15" s="6" t="s">
        <v>223</v>
      </c>
      <c r="E15" s="6"/>
      <c r="G15" s="43"/>
    </row>
    <row r="16" spans="1:10">
      <c r="A16" s="3" t="s">
        <v>220</v>
      </c>
      <c r="B16" s="2"/>
      <c r="C16" s="268">
        <f>G8+G9+G10+G11</f>
        <v>728000</v>
      </c>
      <c r="D16" s="268">
        <f>C16/100</f>
        <v>7280</v>
      </c>
      <c r="E16" s="251"/>
      <c r="F16" s="201"/>
      <c r="G16" s="201"/>
    </row>
    <row r="17" spans="1:7">
      <c r="A17" s="3" t="s">
        <v>221</v>
      </c>
      <c r="C17" s="5">
        <f>G5+G6+G7+G12</f>
        <v>334882.07999999996</v>
      </c>
      <c r="D17" s="268">
        <f>C17/100</f>
        <v>3348.8207999999995</v>
      </c>
      <c r="E17" s="482"/>
      <c r="F17" s="482"/>
      <c r="G17" s="201"/>
    </row>
    <row r="18" spans="1:7">
      <c r="A18" s="3" t="s">
        <v>225</v>
      </c>
      <c r="C18" s="269">
        <f>G4</f>
        <v>99000</v>
      </c>
      <c r="D18" s="268">
        <f>C18/100</f>
        <v>990</v>
      </c>
      <c r="E18" s="252"/>
      <c r="F18" s="201"/>
      <c r="G18" s="201"/>
    </row>
    <row r="19" spans="1:7">
      <c r="A19" s="3"/>
      <c r="C19" s="270">
        <f>SUM(C16:C18)</f>
        <v>1161882.08</v>
      </c>
      <c r="D19" s="270">
        <f>SUM(D16:D18)</f>
        <v>11618.8208</v>
      </c>
      <c r="E19" s="253"/>
      <c r="F19" s="201"/>
      <c r="G19" s="201"/>
    </row>
    <row r="20" spans="1:7">
      <c r="D20" s="5">
        <f>C19/100</f>
        <v>11618.820800000001</v>
      </c>
      <c r="E20" s="201"/>
      <c r="F20" s="201"/>
      <c r="G20" s="201"/>
    </row>
    <row r="21" spans="1:7">
      <c r="E21" s="201"/>
      <c r="F21" s="201"/>
      <c r="G21" s="201"/>
    </row>
    <row r="22" spans="1:7">
      <c r="E22" s="201"/>
      <c r="F22" s="201"/>
      <c r="G22" s="201"/>
    </row>
    <row r="23" spans="1:7">
      <c r="E23" s="201"/>
      <c r="F23" s="201"/>
      <c r="G23" s="201"/>
    </row>
  </sheetData>
  <mergeCells count="2">
    <mergeCell ref="A2:G2"/>
    <mergeCell ref="E17:F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APU</vt:lpstr>
      <vt:lpstr>Campamento</vt:lpstr>
      <vt:lpstr>consolidado</vt:lpstr>
      <vt:lpstr>Resumen</vt:lpstr>
      <vt:lpstr>Taponamiento de Grietas</vt:lpstr>
      <vt:lpstr>Excavacion</vt:lpstr>
      <vt:lpstr>Conformacion de obras</vt:lpstr>
      <vt:lpstr>Revegetalizacion</vt:lpstr>
      <vt:lpstr>Cercado</vt:lpstr>
      <vt:lpstr>Hoja1</vt:lpstr>
      <vt:lpstr>Campamento!Área_de_impresión</vt:lpstr>
      <vt:lpstr>consolidado!Área_de_impresión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Microsoft</dc:creator>
  <cp:lastModifiedBy>alcaldia villa gomez</cp:lastModifiedBy>
  <cp:lastPrinted>2016-08-03T13:19:38Z</cp:lastPrinted>
  <dcterms:created xsi:type="dcterms:W3CDTF">2009-12-16T16:48:08Z</dcterms:created>
  <dcterms:modified xsi:type="dcterms:W3CDTF">2018-12-10T21:43:08Z</dcterms:modified>
</cp:coreProperties>
</file>